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9"/>
  <workbookPr filterPrivacy="1"/>
  <xr:revisionPtr revIDLastSave="0" documentId="13_ncr:1_{EED0F24E-F505-44FE-A5EC-02CF9B906290}" xr6:coauthVersionLast="36" xr6:coauthVersionMax="36" xr10:uidLastSave="{00000000-0000-0000-0000-000000000000}"/>
  <bookViews>
    <workbookView xWindow="0" yWindow="0" windowWidth="22260" windowHeight="12645" activeTab="2" xr2:uid="{00000000-000D-0000-FFFF-FFFF00000000}"/>
  </bookViews>
  <sheets>
    <sheet name="Test Results" sheetId="1" r:id="rId1"/>
    <sheet name="Plant Transfer Function" sheetId="5" r:id="rId2"/>
    <sheet name="Ramp1,2 Test" sheetId="7" r:id="rId3"/>
    <sheet name="Wire Feed Speed Table" sheetId="9" r:id="rId4"/>
    <sheet name="Axial Speed Table" sheetId="10" r:id="rId5"/>
    <sheet name="Loop Gain" sheetId="6" r:id="rId6"/>
    <sheet name="Av" sheetId="4" r:id="rId7"/>
    <sheet name="Trafo V02 Modified" sheetId="3" r:id="rId8"/>
    <sheet name="Test Plan" sheetId="2" r:id="rId9"/>
    <sheet name="Common MIG Misbehavior" sheetId="8" r:id="rId10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R195" i="7" l="1"/>
  <c r="R196" i="7"/>
  <c r="R197" i="7"/>
  <c r="R198" i="7"/>
  <c r="R199" i="7"/>
  <c r="R200" i="7"/>
  <c r="R201" i="7"/>
  <c r="R202" i="7"/>
  <c r="R203" i="7"/>
  <c r="R204" i="7"/>
  <c r="R205" i="7"/>
  <c r="R194" i="7"/>
  <c r="T209" i="7" l="1"/>
  <c r="T210" i="7"/>
  <c r="T211" i="7"/>
  <c r="T212" i="7"/>
  <c r="T213" i="7"/>
  <c r="T214" i="7"/>
  <c r="T215" i="7"/>
  <c r="T219" i="7"/>
  <c r="T208" i="7"/>
  <c r="H209" i="7"/>
  <c r="R209" i="7" s="1"/>
  <c r="H210" i="7"/>
  <c r="R210" i="7" s="1"/>
  <c r="H211" i="7"/>
  <c r="R211" i="7" s="1"/>
  <c r="H212" i="7"/>
  <c r="R212" i="7" s="1"/>
  <c r="H213" i="7"/>
  <c r="R213" i="7" s="1"/>
  <c r="H214" i="7"/>
  <c r="R214" i="7" s="1"/>
  <c r="R215" i="7"/>
  <c r="H216" i="7"/>
  <c r="R216" i="7" s="1"/>
  <c r="H218" i="7"/>
  <c r="H219" i="7"/>
  <c r="H208" i="7"/>
  <c r="G209" i="7"/>
  <c r="G210" i="7"/>
  <c r="G211" i="7"/>
  <c r="G212" i="7"/>
  <c r="G213" i="7"/>
  <c r="G214" i="7"/>
  <c r="G216" i="7"/>
  <c r="G217" i="7"/>
  <c r="G218" i="7"/>
  <c r="G219" i="7"/>
  <c r="G208" i="7"/>
  <c r="F209" i="7"/>
  <c r="F210" i="7"/>
  <c r="F211" i="7"/>
  <c r="F212" i="7"/>
  <c r="F213" i="7"/>
  <c r="F214" i="7"/>
  <c r="F215" i="7"/>
  <c r="F216" i="7"/>
  <c r="F217" i="7"/>
  <c r="F218" i="7"/>
  <c r="F219" i="7"/>
  <c r="F208" i="7"/>
  <c r="T176" i="7"/>
  <c r="T177" i="7"/>
  <c r="T178" i="7"/>
  <c r="T179" i="7"/>
  <c r="T180" i="7"/>
  <c r="T181" i="7"/>
  <c r="T182" i="7"/>
  <c r="T183" i="7"/>
  <c r="T184" i="7"/>
  <c r="T185" i="7"/>
  <c r="T186" i="7"/>
  <c r="K176" i="7"/>
  <c r="K177" i="7"/>
  <c r="K178" i="7"/>
  <c r="K179" i="7"/>
  <c r="K180" i="7"/>
  <c r="K181" i="7"/>
  <c r="K182" i="7"/>
  <c r="K183" i="7"/>
  <c r="K184" i="7"/>
  <c r="K185" i="7"/>
  <c r="K186" i="7"/>
  <c r="K175" i="7"/>
  <c r="H140" i="7"/>
  <c r="H139" i="7"/>
  <c r="H137" i="7"/>
  <c r="H136" i="7"/>
  <c r="H135" i="7"/>
  <c r="H133" i="7"/>
  <c r="H132" i="7"/>
  <c r="H131" i="7"/>
  <c r="H130" i="7"/>
  <c r="H129" i="7"/>
  <c r="H128" i="7"/>
  <c r="H127" i="7"/>
  <c r="R208" i="7" l="1"/>
  <c r="R219" i="7"/>
  <c r="R218" i="7"/>
  <c r="R217" i="7"/>
  <c r="F189" i="7"/>
  <c r="G136" i="7"/>
  <c r="G127" i="7"/>
  <c r="F194" i="7" l="1"/>
  <c r="F195" i="7"/>
  <c r="F197" i="7"/>
  <c r="F198" i="7"/>
  <c r="F199" i="7"/>
  <c r="F200" i="7"/>
  <c r="F201" i="7"/>
  <c r="F202" i="7"/>
  <c r="F203" i="7"/>
  <c r="F204" i="7"/>
  <c r="F205" i="7"/>
  <c r="F196" i="7"/>
  <c r="G134" i="7" l="1"/>
  <c r="F182" i="7"/>
  <c r="G131" i="7"/>
  <c r="G130" i="7"/>
  <c r="G129" i="7"/>
  <c r="F177" i="7" l="1"/>
  <c r="F178" i="7"/>
  <c r="F179" i="7"/>
  <c r="F180" i="7"/>
  <c r="F181" i="7"/>
  <c r="F183" i="7"/>
  <c r="F184" i="7"/>
  <c r="F185" i="7"/>
  <c r="F186" i="7"/>
  <c r="F176" i="7"/>
  <c r="F175" i="7"/>
  <c r="F7" i="9"/>
  <c r="F8" i="9"/>
  <c r="F9" i="9"/>
  <c r="F10" i="9"/>
  <c r="F11" i="9"/>
  <c r="F12" i="9"/>
  <c r="F13" i="9"/>
  <c r="F14" i="9"/>
  <c r="F15" i="9"/>
  <c r="F6" i="9"/>
  <c r="F5" i="9"/>
  <c r="F5" i="10"/>
  <c r="F6" i="10"/>
  <c r="F7" i="10"/>
  <c r="F4" i="10"/>
  <c r="AA79" i="7"/>
  <c r="AA78" i="7"/>
  <c r="AA76" i="7"/>
  <c r="AA74" i="7"/>
  <c r="AA73" i="7"/>
  <c r="AA67" i="7"/>
  <c r="AA66" i="7"/>
  <c r="AA64" i="7"/>
  <c r="AA62" i="7"/>
  <c r="AA60" i="7"/>
  <c r="AA59" i="7"/>
  <c r="AA54" i="7"/>
  <c r="AA52" i="7"/>
  <c r="AA51" i="7"/>
  <c r="AA49" i="7"/>
  <c r="AA47" i="7"/>
  <c r="AA45" i="7"/>
  <c r="AA17" i="7"/>
  <c r="AA16" i="7"/>
  <c r="AA15" i="7"/>
  <c r="AA14" i="7"/>
  <c r="AA11" i="7"/>
  <c r="AA10" i="7"/>
  <c r="AA9" i="7"/>
  <c r="F20" i="9" l="1"/>
  <c r="F21" i="9"/>
  <c r="G128" i="7" l="1"/>
  <c r="G140" i="7"/>
  <c r="F17" i="9"/>
  <c r="F16" i="9"/>
  <c r="G139" i="7"/>
  <c r="G138" i="7"/>
  <c r="G137" i="7"/>
  <c r="G135" i="7"/>
  <c r="G133" i="7"/>
  <c r="G132" i="7"/>
  <c r="I142" i="7" l="1"/>
  <c r="G142" i="7"/>
  <c r="P66" i="7"/>
  <c r="P67" i="7"/>
  <c r="P68" i="7"/>
  <c r="P69" i="7"/>
  <c r="P70" i="7"/>
  <c r="P71" i="7"/>
  <c r="P72" i="7"/>
  <c r="P73" i="7"/>
  <c r="P74" i="7"/>
  <c r="P75" i="7"/>
  <c r="P76" i="7"/>
  <c r="P77" i="7"/>
  <c r="P78" i="7"/>
  <c r="P79" i="7"/>
  <c r="P80" i="7"/>
  <c r="P81" i="7"/>
  <c r="P82" i="7"/>
  <c r="P83" i="7"/>
  <c r="P84" i="7"/>
  <c r="P85" i="7"/>
  <c r="P86" i="7"/>
  <c r="P87" i="7"/>
  <c r="P88" i="7"/>
  <c r="P89" i="7"/>
  <c r="P90" i="7"/>
  <c r="P91" i="7"/>
  <c r="P92" i="7"/>
  <c r="P93" i="7"/>
  <c r="P94" i="7"/>
  <c r="P95" i="7"/>
  <c r="P96" i="7"/>
  <c r="P97" i="7"/>
  <c r="P98" i="7"/>
  <c r="P99" i="7"/>
  <c r="P100" i="7"/>
  <c r="P101" i="7"/>
  <c r="P102" i="7"/>
  <c r="P103" i="7"/>
  <c r="P104" i="7"/>
  <c r="P105" i="7"/>
  <c r="P106" i="7"/>
  <c r="P107" i="7"/>
  <c r="P108" i="7"/>
  <c r="P109" i="7"/>
  <c r="G185" i="7" l="1"/>
  <c r="G180" i="7"/>
  <c r="H180" i="7" s="1"/>
  <c r="G182" i="7"/>
  <c r="H182" i="7" s="1"/>
  <c r="G177" i="7"/>
  <c r="H177" i="7" s="1"/>
  <c r="G175" i="7"/>
  <c r="H175" i="7" s="1"/>
  <c r="G186" i="7"/>
  <c r="H186" i="7" s="1"/>
  <c r="G184" i="7"/>
  <c r="H184" i="7" s="1"/>
  <c r="G178" i="7"/>
  <c r="H178" i="7" s="1"/>
  <c r="G181" i="7"/>
  <c r="H181" i="7" s="1"/>
  <c r="G176" i="7"/>
  <c r="H176" i="7" s="1"/>
  <c r="G183" i="7"/>
  <c r="H183" i="7" s="1"/>
  <c r="G179" i="7"/>
  <c r="H179" i="7" s="1"/>
  <c r="P45" i="7"/>
  <c r="R185" i="7" l="1"/>
  <c r="H185" i="7"/>
  <c r="R183" i="7"/>
  <c r="R179" i="7"/>
  <c r="R176" i="7"/>
  <c r="R181" i="7"/>
  <c r="R175" i="7"/>
  <c r="R178" i="7"/>
  <c r="R184" i="7"/>
  <c r="R186" i="7"/>
  <c r="R177" i="7"/>
  <c r="R182" i="7"/>
  <c r="R180" i="7"/>
  <c r="Q61" i="7"/>
  <c r="Q62" i="7"/>
  <c r="Q56" i="7" l="1"/>
  <c r="G5" i="9" l="1"/>
  <c r="P42" i="7" l="1"/>
  <c r="P43" i="7"/>
  <c r="P44" i="7"/>
  <c r="P17" i="7"/>
  <c r="P46" i="7"/>
  <c r="P49" i="7"/>
  <c r="P48" i="7"/>
  <c r="P51" i="7"/>
  <c r="P50" i="7"/>
  <c r="P52" i="7"/>
  <c r="P54" i="7"/>
  <c r="P53" i="7"/>
  <c r="P59" i="7"/>
  <c r="P55" i="7"/>
  <c r="P56" i="7"/>
  <c r="P57" i="7"/>
  <c r="P58" i="7"/>
  <c r="P60" i="7"/>
  <c r="P62" i="7"/>
  <c r="P61" i="7"/>
  <c r="P63" i="7"/>
  <c r="P64" i="7"/>
  <c r="P65" i="7"/>
  <c r="P41" i="7"/>
  <c r="P38" i="7"/>
  <c r="P39" i="7"/>
  <c r="P40" i="7"/>
  <c r="E37" i="7"/>
  <c r="E36" i="7"/>
  <c r="E35" i="7"/>
  <c r="P36" i="7" l="1"/>
  <c r="P37" i="7"/>
  <c r="P35" i="7"/>
  <c r="P34" i="7" l="1"/>
  <c r="P33" i="7"/>
  <c r="P32" i="7"/>
  <c r="E31" i="7"/>
  <c r="E30" i="7"/>
  <c r="P28" i="7" l="1"/>
  <c r="P29" i="7"/>
  <c r="P30" i="7"/>
  <c r="P31" i="7"/>
  <c r="P27" i="7"/>
  <c r="P26" i="7" l="1"/>
  <c r="P25" i="7"/>
  <c r="P24" i="7"/>
  <c r="P23" i="7" l="1"/>
  <c r="P22" i="7"/>
  <c r="P21" i="7" l="1"/>
  <c r="P20" i="7"/>
  <c r="P19" i="7"/>
  <c r="P5" i="7" l="1"/>
  <c r="P6" i="7"/>
  <c r="P7" i="7"/>
  <c r="P8" i="7"/>
  <c r="P9" i="7"/>
  <c r="P10" i="7"/>
  <c r="P11" i="7"/>
  <c r="P12" i="7"/>
  <c r="P13" i="7"/>
  <c r="P14" i="7"/>
  <c r="P15" i="7"/>
  <c r="P16" i="7"/>
  <c r="P47" i="7"/>
  <c r="P18" i="7"/>
  <c r="AV303" i="5" l="1"/>
  <c r="N22" i="1" l="1"/>
  <c r="M22" i="1"/>
  <c r="M19" i="1"/>
  <c r="J13" i="1" l="1"/>
  <c r="H13" i="1"/>
  <c r="G13" i="1"/>
  <c r="F13" i="1"/>
  <c r="D13" i="1"/>
  <c r="AE606" i="5" l="1"/>
  <c r="AG623" i="5"/>
  <c r="AH624" i="5"/>
  <c r="AH623" i="5"/>
  <c r="H592" i="5"/>
  <c r="AI619" i="5"/>
  <c r="AJ619" i="5" l="1"/>
  <c r="AH619" i="5" l="1"/>
  <c r="D11" i="1" l="1"/>
  <c r="V280" i="5"/>
  <c r="V279" i="5"/>
  <c r="U279" i="5"/>
  <c r="U278" i="5"/>
  <c r="D12" i="1" l="1"/>
  <c r="F12" i="1" l="1"/>
  <c r="G12" i="1" s="1"/>
  <c r="H12" i="1" s="1"/>
  <c r="J12" i="1" s="1"/>
  <c r="F11" i="1"/>
  <c r="G11" i="1" s="1"/>
  <c r="H11" i="1" s="1"/>
  <c r="J11" i="1" s="1"/>
  <c r="F10" i="1"/>
  <c r="D690" i="3" l="1"/>
  <c r="H677" i="3"/>
  <c r="H673" i="3"/>
  <c r="H674" i="3"/>
  <c r="H675" i="3"/>
  <c r="H676" i="3"/>
  <c r="H672" i="3"/>
  <c r="S613" i="3" l="1"/>
  <c r="AB103" i="1" l="1"/>
  <c r="D6" i="1" l="1"/>
  <c r="F6" i="1" s="1"/>
  <c r="G10" i="1" l="1"/>
  <c r="H10" i="1" s="1"/>
  <c r="J10" i="1" s="1"/>
  <c r="F7" i="1"/>
  <c r="I6" i="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R45" authorId="0" shapeId="0" xr:uid="{69DB5266-7E82-4850-8ECC-0629CD38F26A}">
      <text>
        <r>
          <rPr>
            <b/>
            <sz val="9"/>
            <color indexed="81"/>
            <rFont val="Tahoma"/>
            <charset val="1"/>
          </rPr>
          <t>Author:</t>
        </r>
        <r>
          <rPr>
            <sz val="9"/>
            <color indexed="81"/>
            <rFont val="Tahoma"/>
            <charset val="1"/>
          </rPr>
          <t xml:space="preserve">
This is essential. 8A lead to not nice weld bead</t>
        </r>
      </text>
    </comment>
    <comment ref="Q53" authorId="0" shapeId="0" xr:uid="{5C2C0F29-11A8-4BEB-AE93-A8950F6D2125}">
      <text>
        <r>
          <rPr>
            <b/>
            <sz val="9"/>
            <color indexed="81"/>
            <rFont val="Tahoma"/>
            <charset val="1"/>
          </rPr>
          <t>Author:</t>
        </r>
        <r>
          <rPr>
            <sz val="9"/>
            <color indexed="81"/>
            <rFont val="Tahoma"/>
            <charset val="1"/>
          </rPr>
          <t xml:space="preserve">
=50us*200 ramp down array size</t>
        </r>
      </text>
    </comment>
    <comment ref="Q59" authorId="0" shapeId="0" xr:uid="{84EF0626-4FAF-4A44-BE4E-6C464C98E8B0}">
      <text>
        <r>
          <rPr>
            <b/>
            <sz val="9"/>
            <color indexed="81"/>
            <rFont val="Tahoma"/>
            <charset val="1"/>
          </rPr>
          <t>Author:</t>
        </r>
        <r>
          <rPr>
            <sz val="9"/>
            <color indexed="81"/>
            <rFont val="Tahoma"/>
            <charset val="1"/>
          </rPr>
          <t xml:space="preserve">
=50us*200 ramp down array size</t>
        </r>
      </text>
    </comment>
    <comment ref="Q61" authorId="0" shapeId="0" xr:uid="{B3E6E134-825D-48D4-8EA1-9509F01ECA26}">
      <text>
        <r>
          <rPr>
            <b/>
            <sz val="9"/>
            <color indexed="81"/>
            <rFont val="Tahoma"/>
            <charset val="1"/>
          </rPr>
          <t>Author:</t>
        </r>
        <r>
          <rPr>
            <sz val="9"/>
            <color indexed="81"/>
            <rFont val="Tahoma"/>
            <charset val="1"/>
          </rPr>
          <t xml:space="preserve">
RampDown=8A instead of 4A as before</t>
        </r>
      </text>
    </comment>
    <comment ref="S67" authorId="0" shapeId="0" xr:uid="{EE6E4F56-3238-4C84-B267-0DD9FFC6DCD7}">
      <text>
        <r>
          <rPr>
            <b/>
            <sz val="9"/>
            <color indexed="81"/>
            <rFont val="Tahoma"/>
            <charset val="1"/>
          </rPr>
          <t>Author:</t>
        </r>
        <r>
          <rPr>
            <sz val="9"/>
            <color indexed="81"/>
            <rFont val="Tahoma"/>
            <charset val="1"/>
          </rPr>
          <t xml:space="preserve">
I_Vally=67, but taking into account the Ramps, gives 74A</t>
        </r>
      </text>
    </comment>
    <comment ref="H182" authorId="0" shapeId="0" xr:uid="{AB55DB42-B6C5-4AB3-B3D2-16F13B30E758}">
      <text>
        <r>
          <rPr>
            <b/>
            <sz val="9"/>
            <color indexed="81"/>
            <rFont val="Tahoma"/>
            <charset val="1"/>
          </rPr>
          <t>Author:</t>
        </r>
        <r>
          <rPr>
            <sz val="9"/>
            <color indexed="81"/>
            <rFont val="Tahoma"/>
            <charset val="1"/>
          </rPr>
          <t xml:space="preserve">
set was 182</t>
        </r>
      </text>
    </comment>
  </commentList>
</comments>
</file>

<file path=xl/sharedStrings.xml><?xml version="1.0" encoding="utf-8"?>
<sst xmlns="http://schemas.openxmlformats.org/spreadsheetml/2006/main" count="734" uniqueCount="372">
  <si>
    <t>Parameter</t>
  </si>
  <si>
    <t>Unit</t>
  </si>
  <si>
    <t>Value</t>
  </si>
  <si>
    <t>A</t>
  </si>
  <si>
    <t>I_Welder[A] AV</t>
  </si>
  <si>
    <t>V_Amp_out [mV]</t>
  </si>
  <si>
    <t>IC_302,#3[mV]</t>
  </si>
  <si>
    <t xml:space="preserve"> PWM_I_Set D[%]</t>
  </si>
  <si>
    <t>Remark</t>
  </si>
  <si>
    <t>I_Prim_Peak</t>
  </si>
  <si>
    <t>I_Cycle_Cycle_Limit=</t>
  </si>
  <si>
    <t>32A (by Choosing R316=12.3 Ohm)</t>
  </si>
  <si>
    <t>Pout_Max=</t>
  </si>
  <si>
    <t>Watt</t>
  </si>
  <si>
    <t>RL=</t>
  </si>
  <si>
    <t>Io_Target[A]</t>
  </si>
  <si>
    <t>R_Wires</t>
  </si>
  <si>
    <t>I_Sec_Max_Peak=</t>
  </si>
  <si>
    <t>R1</t>
  </si>
  <si>
    <t>RL_Tot=</t>
  </si>
  <si>
    <t>Ro_tot  [ohm]</t>
  </si>
  <si>
    <t>Test #</t>
  </si>
  <si>
    <t>Test Name</t>
  </si>
  <si>
    <t>Test Description</t>
  </si>
  <si>
    <t>Setting-1</t>
  </si>
  <si>
    <t>Setting-2</t>
  </si>
  <si>
    <t>Setting-3</t>
  </si>
  <si>
    <t>Setting-4</t>
  </si>
  <si>
    <t>Setting-5</t>
  </si>
  <si>
    <t>Param-1</t>
  </si>
  <si>
    <t>Param-2</t>
  </si>
  <si>
    <t>Param-3</t>
  </si>
  <si>
    <t>Param-4</t>
  </si>
  <si>
    <t>Param-5</t>
  </si>
  <si>
    <t>Param-6</t>
  </si>
  <si>
    <t>Param-7</t>
  </si>
  <si>
    <t>Param-8</t>
  </si>
  <si>
    <t>ZVS @ Various Loads</t>
  </si>
  <si>
    <t>I_Out_soll=50A</t>
  </si>
  <si>
    <t>For QA,QB,QC,QD</t>
  </si>
  <si>
    <t>V_CS @ Various Loads</t>
  </si>
  <si>
    <t>This influences over current protection</t>
  </si>
  <si>
    <t>Goal</t>
  </si>
  <si>
    <t>Verify ZVS at Light and heavy loads</t>
  </si>
  <si>
    <t>Verify the need for snubbers?... Increase Rsnub gradually</t>
  </si>
  <si>
    <t>D [%] @ FG</t>
  </si>
  <si>
    <t>Simulation</t>
  </si>
  <si>
    <t>Testt at NL</t>
  </si>
  <si>
    <t>Np</t>
  </si>
  <si>
    <t>Ns</t>
  </si>
  <si>
    <t>Lprimary</t>
  </si>
  <si>
    <t>Secondaries Open</t>
  </si>
  <si>
    <t>Ltspice Dimensioning 5</t>
  </si>
  <si>
    <t>Ltspice Dimensioning 6</t>
  </si>
  <si>
    <t>Ltspice Dimensioning 7</t>
  </si>
  <si>
    <t>Dimensioning 7</t>
  </si>
  <si>
    <t>AT Io=22A</t>
  </si>
  <si>
    <t>Welding Tests</t>
  </si>
  <si>
    <t>V_Motor</t>
  </si>
  <si>
    <t>Feeding Rate [inch/sec]</t>
  </si>
  <si>
    <t>Feed Rate [cm/sec]</t>
  </si>
  <si>
    <t xml:space="preserve">Thickness of my Plate </t>
  </si>
  <si>
    <t>Welding Setup</t>
  </si>
  <si>
    <t>Inch</t>
  </si>
  <si>
    <t>Required Current</t>
  </si>
  <si>
    <t>Each 100th inch needs an Amper</t>
  </si>
  <si>
    <t>Wave</t>
  </si>
  <si>
    <t>Freq</t>
  </si>
  <si>
    <t>V_out</t>
  </si>
  <si>
    <t>V_In[mV]</t>
  </si>
  <si>
    <t>DC</t>
  </si>
  <si>
    <t>Function Generator Setting =22mV @ 50 Ohm</t>
  </si>
  <si>
    <t>Function Generator Setting =43mV @  High Z</t>
  </si>
  <si>
    <t xml:space="preserve">Transfer Function of Plant + PWM </t>
  </si>
  <si>
    <t>Current Measurement Amplfier Transfer Function</t>
  </si>
  <si>
    <t>Output Inductance</t>
  </si>
  <si>
    <t>Vprimary_DC</t>
  </si>
  <si>
    <t>Vo_Max[V]</t>
  </si>
  <si>
    <t>Io_Max calc[A]</t>
  </si>
  <si>
    <t>V_PWM_Max</t>
  </si>
  <si>
    <t>Compensator output[V] calc</t>
  </si>
  <si>
    <t>Duty Cycle[%] calc</t>
  </si>
  <si>
    <t>HMI</t>
  </si>
  <si>
    <t>Data-0</t>
  </si>
  <si>
    <t>Data-1</t>
  </si>
  <si>
    <t>Data-2</t>
  </si>
  <si>
    <t>Data-3</t>
  </si>
  <si>
    <t>Data-4</t>
  </si>
  <si>
    <t>Data-5</t>
  </si>
  <si>
    <t>Data-6</t>
  </si>
  <si>
    <t>Data Line</t>
  </si>
  <si>
    <t>Label</t>
  </si>
  <si>
    <t>VCC_DISP1</t>
  </si>
  <si>
    <t>VCC_DISP2</t>
  </si>
  <si>
    <t>VCC_DISP3</t>
  </si>
  <si>
    <t>BCD-B</t>
  </si>
  <si>
    <t>BCD-C</t>
  </si>
  <si>
    <t>BCD-D</t>
  </si>
  <si>
    <t>BCD-A (LSB)</t>
  </si>
  <si>
    <t>Removing CM &amp; DM Filter at input of voltage amplifier.</t>
  </si>
  <si>
    <t>Adding a Roll-Off capacitor (Cf=10nF)</t>
  </si>
  <si>
    <t>Acc. To WCA, the 3dB Frequency = 2.6KHz</t>
  </si>
  <si>
    <t>Measurement shows a F_3dB =1.323KHz</t>
  </si>
  <si>
    <t>F_Crossover= 1.7KHz, with Phase loss of -51 Degrees (Phase Margin = 180-51)</t>
  </si>
  <si>
    <t>Av0=4.383dB = 1.65</t>
  </si>
  <si>
    <t>I_Set</t>
  </si>
  <si>
    <t>RL=1.2R</t>
  </si>
  <si>
    <t>VC=Ea=1.5V</t>
  </si>
  <si>
    <t>VC=Ea=1.3V</t>
  </si>
  <si>
    <t>Rsum=65K</t>
  </si>
  <si>
    <t>Rsum=22K</t>
  </si>
  <si>
    <t>RL=1.2</t>
  </si>
  <si>
    <t>EA=1.5V</t>
  </si>
  <si>
    <t>Loop opened at Compensator Output</t>
  </si>
  <si>
    <t>Signal Injected at Ea+ Pin over 10R resistor</t>
  </si>
  <si>
    <t>Signal measured back at output of voltage amplifier</t>
  </si>
  <si>
    <t>EA=1.3V</t>
  </si>
  <si>
    <t>EA=1.8V</t>
  </si>
  <si>
    <t>RL=1.2//2.2R</t>
  </si>
  <si>
    <t>The injected signal level seems too big, reduce level and remeasure</t>
  </si>
  <si>
    <t>Lower Injection</t>
  </si>
  <si>
    <t>Reducing the injected signal by 10dB, gave same transfer function.</t>
  </si>
  <si>
    <t>Two Blocking caps : 2.4/2.4uF 400V</t>
  </si>
  <si>
    <t>1xBlocking Cap 2.5uF</t>
  </si>
  <si>
    <t>I_o Settled =10A</t>
  </si>
  <si>
    <t>Adding another blocking capacitor doesn’t change the 3dB frequency of the Plant+Av Transfer function</t>
  </si>
  <si>
    <t>Without DC or CM filter</t>
  </si>
  <si>
    <t>Type-1 Compens:</t>
  </si>
  <si>
    <t>G0=30</t>
  </si>
  <si>
    <t>fpole=160 Hz</t>
  </si>
  <si>
    <t>RF=330K</t>
  </si>
  <si>
    <t>Cc=10nF</t>
  </si>
  <si>
    <t>Cc=22nF</t>
  </si>
  <si>
    <t>I_Valley_Set</t>
  </si>
  <si>
    <t>I_Step-1</t>
  </si>
  <si>
    <t>V-Feed[V]</t>
  </si>
  <si>
    <t>Weld</t>
  </si>
  <si>
    <t>Interrupted, was fine till wire melted off, then no new arc stroke.</t>
  </si>
  <si>
    <t>The new peak doesn’t get reached. R=0.125 impedes.</t>
  </si>
  <si>
    <t>T-Measured[ms]</t>
  </si>
  <si>
    <t>First 20 ramps are fine, rest is deformed.
A 220A current transient switched off the IGBTs</t>
  </si>
  <si>
    <t>To-Do</t>
  </si>
  <si>
    <t>1- Modify IGBT current thresholds from 36A to 50A (primaryside)
2- Increase Bandwidth (use PID)
3- Allow pulse-by-pulse Resistance measurement (Less Prio)</t>
  </si>
  <si>
    <t>T-step[ms]</t>
  </si>
  <si>
    <t>T-rise[ms]</t>
  </si>
  <si>
    <t>I-Peak[A]</t>
  </si>
  <si>
    <t>I-Peak-ist[A]</t>
  </si>
  <si>
    <t>T-Fall[ms]</t>
  </si>
  <si>
    <t>T_Peak[ms]</t>
  </si>
  <si>
    <t>Ea_Thd[mV]</t>
  </si>
  <si>
    <t>Contineous, still wavy, less smoke</t>
  </si>
  <si>
    <t>Waveforms</t>
  </si>
  <si>
    <t>when Ea&lt; Thd, new Ramp comes but even the first one is distorted.</t>
  </si>
  <si>
    <t>Reduce the Ea THD to 1600mV</t>
  </si>
  <si>
    <t>More cont. less wavy less smokey bead</t>
  </si>
  <si>
    <t>Reduce the Ea THD to 1500mV</t>
  </si>
  <si>
    <t>Check at higher Feed rate = 4V, same 14KHz speed</t>
  </si>
  <si>
    <t>most pulses after Ea&lt;Thd are distorted, but some are not</t>
  </si>
  <si>
    <t>Reduce Current levels of each Ramp (less energy packet/ Ramp)</t>
  </si>
  <si>
    <t>Cont. a bit wavy, some soke, bead is thciker a bit</t>
  </si>
  <si>
    <t>Increase periodic time of Ramps, Ea_THD=1.3V, Ramp up the feed speed</t>
  </si>
  <si>
    <t>cont. but wavy</t>
  </si>
  <si>
    <t>many trains of pulses</t>
  </si>
  <si>
    <t>Increase energy per ramp, increase perdiodic time</t>
  </si>
  <si>
    <t>cont, less wavy bead.</t>
  </si>
  <si>
    <t>VCE touching 600V (since Tpeak is longer),  Io_Av=85A when Ramps on.</t>
  </si>
  <si>
    <t>System-Test-Files\Test-100</t>
  </si>
  <si>
    <t>Oscilloscope Files</t>
  </si>
  <si>
    <t>System-Test-Files\Test-101</t>
  </si>
  <si>
    <t>Increase I_Vally by 5A, decreasing it resulted in wire not melting</t>
  </si>
  <si>
    <t>Increase the periodic time of each Ramp bby 2ms</t>
  </si>
  <si>
    <t>VCE less  600V (since Tpeak is longer),  Io_Av=79A when Ramps on.</t>
  </si>
  <si>
    <t>System-Test-Files\Test-102</t>
  </si>
  <si>
    <t>Increase Feed Rate to 4.3V</t>
  </si>
  <si>
    <t>System-Test-Files\Test-103</t>
  </si>
  <si>
    <t>cont, wavy bead.lots of debris flying while welding</t>
  </si>
  <si>
    <t>System-Test-Files\Test-104</t>
  </si>
  <si>
    <t>almost always 12 consequetive ramps, then current discont.</t>
  </si>
  <si>
    <t>Less Energy per Ramp, or increase periodic time.
Spatter indicates that amperage is too high.</t>
  </si>
  <si>
    <t>I_Av[A]</t>
  </si>
  <si>
    <t>V01.14</t>
  </si>
  <si>
    <t>contin. But with two bumps</t>
  </si>
  <si>
    <t>System-Test-Files\Test-105</t>
  </si>
  <si>
    <t>V01.15</t>
  </si>
  <si>
    <t>Increase Feed Rate to 4.2V</t>
  </si>
  <si>
    <t>one disconinueuity at 1/6 of bead length.</t>
  </si>
  <si>
    <t>look at reference weld signals again</t>
  </si>
  <si>
    <t>System-Test-Files\Test-106</t>
  </si>
  <si>
    <r>
      <t xml:space="preserve">the peaks on the go are distorted.
</t>
    </r>
    <r>
      <rPr>
        <b/>
        <sz val="11"/>
        <color rgb="FFFF0000"/>
        <rFont val="Calibri"/>
        <family val="2"/>
        <scheme val="minor"/>
      </rPr>
      <t>The Shim Inductor heated up to ca. 50C</t>
    </r>
  </si>
  <si>
    <t>Wobbly, with lots of debris while welding</t>
  </si>
  <si>
    <t>System-Test-Files\Test-107</t>
  </si>
  <si>
    <t>V01.16</t>
  </si>
  <si>
    <t>No arc</t>
  </si>
  <si>
    <t>SW Version2</t>
  </si>
  <si>
    <t>V01.17</t>
  </si>
  <si>
    <t>Has discont. With sputter</t>
  </si>
  <si>
    <t>After 500ms of pulses stop, new Ramp distorted</t>
  </si>
  <si>
    <t>1- Try to reduce I-Vally.
2- Try to Reduce Ramp Energy so that I_Av=82A</t>
  </si>
  <si>
    <t>System-Test-Files\Test-108</t>
  </si>
  <si>
    <t>After Ramp Trains there is a current discont.</t>
  </si>
  <si>
    <t>Reduce EA_Thd to 1500mV, use same current profile as an old good weld.</t>
  </si>
  <si>
    <t>Weld discont and sputter</t>
  </si>
  <si>
    <t>Current discont after a train of ramps</t>
  </si>
  <si>
    <t>System-Test-Files\Test-109</t>
  </si>
  <si>
    <t>One discont in current</t>
  </si>
  <si>
    <t>System-Test-Files\Test-111</t>
  </si>
  <si>
    <t>System-Test-Files\Test-110</t>
  </si>
  <si>
    <t xml:space="preserve">1- current has some discont. (drop to 0A)
2- After some hundreds of ms , a new pulses is distorted
</t>
  </si>
  <si>
    <t>V01.18</t>
  </si>
  <si>
    <t>Nice pulses not distorted</t>
  </si>
  <si>
    <t>Decrease the I-Step level, decrease the Ramp Down time from 10ms to 5ms</t>
  </si>
  <si>
    <t>System-Test-Files\Tes-112</t>
  </si>
  <si>
    <t>weld didn’t stick</t>
  </si>
  <si>
    <t>Increase EA_THD to1.8V, and decrease Timebase</t>
  </si>
  <si>
    <t>Increase Step-1 Level</t>
  </si>
  <si>
    <t>Nice Weld Cont.</t>
  </si>
  <si>
    <t>Ramps only at ARC start, then quite</t>
  </si>
  <si>
    <t>Increase Vfeed</t>
  </si>
  <si>
    <t>System-Test-Files\Test-115</t>
  </si>
  <si>
    <t>System-Test-Files\Test-116</t>
  </si>
  <si>
    <t>Cont Weld, but wavy</t>
  </si>
  <si>
    <t>A few current discont.</t>
  </si>
  <si>
    <t>Increase Vfeed, increase Ramp Down Time from 5ms to 8ms</t>
  </si>
  <si>
    <t>System-Test-Files\Test-117</t>
  </si>
  <si>
    <t>Spatter indicates high amperage. Try keep Ramp shape but reduce  I valley</t>
  </si>
  <si>
    <t>more spatter, cont weld but lots of debris</t>
  </si>
  <si>
    <t>System-Test-Files\Test-118</t>
  </si>
  <si>
    <t>when Ramps come they come in many pulse trains =8</t>
  </si>
  <si>
    <t>Cont Weld, but wavy and spatter</t>
  </si>
  <si>
    <t>Arc didn’t start!!</t>
  </si>
  <si>
    <t>seems the delta I is what strikes the arcalways keep this big</t>
  </si>
  <si>
    <t>System-Test-Files\Test-119</t>
  </si>
  <si>
    <t>Arc started then couldn’t restart.</t>
  </si>
  <si>
    <t>lots of spatter, weld has some discont</t>
  </si>
  <si>
    <t>After Ramp train, usually current discont</t>
  </si>
  <si>
    <t>Increase the Ramp Down Time</t>
  </si>
  <si>
    <t>still weld didn’t stick, arc lost</t>
  </si>
  <si>
    <t>Conclusions:</t>
  </si>
  <si>
    <t>A nice weld happens when after ARC, only few ramps occur at a big time durations (100ms to multiple seconds)</t>
  </si>
  <si>
    <t>A discontinuity in current almost always results in discont. In Weld bead</t>
  </si>
  <si>
    <t>Increasing speed feed results in higher current on average.</t>
  </si>
  <si>
    <t>System-Test-Files\Test-120</t>
  </si>
  <si>
    <t>Decreasing EA_THD below 1.4V lead to no ARC, and no Ramps</t>
  </si>
  <si>
    <t>Increasing EA_THD above 1.7V, lead to Ramp trains and current discontinuity</t>
  </si>
  <si>
    <t>Ideal EA_THD=1.5V</t>
  </si>
  <si>
    <t>To get reproducible Ramp Waveforms, the total ramp time shall not exceed: 14ms</t>
  </si>
  <si>
    <t>If T_Rampdown= 5ms, and Ttick=0.5ms, this results in total periodic time of 25ms total</t>
  </si>
  <si>
    <t>if wire feed speed inceases try to change only I_Valley, and correspondignly I_Step1</t>
  </si>
  <si>
    <t>Repeated Test x2: Once no ARC</t>
  </si>
  <si>
    <t>System-Test-Files\Test-121</t>
  </si>
  <si>
    <t>Weld was nice for seconds then lost arc</t>
  </si>
  <si>
    <t>Ramps only at beginning then Quite</t>
  </si>
  <si>
    <t>Suggestion: In Software if Rweld= High for many seconds, every 100ms 
throw a Ramp</t>
  </si>
  <si>
    <t>System-Test-Files\Test-122</t>
  </si>
  <si>
    <t>System-Test-Files\Test-123</t>
  </si>
  <si>
    <t>Ramps only at ARC start, then quite except every few secs a ramp comes</t>
  </si>
  <si>
    <t>Ramp-Down Time[ms]</t>
  </si>
  <si>
    <t>System-Test-Files\Test-124</t>
  </si>
  <si>
    <t>Ramps at ARC start, and every few seccs pulse trains</t>
  </si>
  <si>
    <t>Nice weld, but with interruptions</t>
  </si>
  <si>
    <t>Try increasing I_Valley</t>
  </si>
  <si>
    <t>System-Test-Files\Test-125</t>
  </si>
  <si>
    <t>Much nicer weld, smoother</t>
  </si>
  <si>
    <t>System-Test-Files\Test-126</t>
  </si>
  <si>
    <t>Cont Weld but over cooked</t>
  </si>
  <si>
    <t>V_Feed</t>
  </si>
  <si>
    <t>Wire Length[cm]</t>
  </si>
  <si>
    <t>Time[sec]</t>
  </si>
  <si>
    <t>System-Test-Files\Test-128</t>
  </si>
  <si>
    <t>V01.19</t>
  </si>
  <si>
    <t>Not Nice Weld with spatter</t>
  </si>
  <si>
    <t>Increase Ram down Time even more to eliminate discont in current.
Consider increasing planar speed of motor</t>
  </si>
  <si>
    <t>System-Test-Files\Test-129</t>
  </si>
  <si>
    <t>Nicer, yet doesn’t qualify as pass</t>
  </si>
  <si>
    <t>After a Pulse train of &gt;5, Current discont. Usually</t>
  </si>
  <si>
    <t>System-Test-Files\Test-130</t>
  </si>
  <si>
    <t>Make tail of each Ramp longer..Distribute the Ramps more..</t>
  </si>
  <si>
    <t>Axial movement slower (14KHz)</t>
  </si>
  <si>
    <t>System-Test-Files\Test-131</t>
  </si>
  <si>
    <t>System-Test-Files\Test-132</t>
  </si>
  <si>
    <t>Axial Speed</t>
  </si>
  <si>
    <t>14KHz</t>
  </si>
  <si>
    <t>Trying to increase Ramp Spacing, and Reduce I_Peak a bit more</t>
  </si>
  <si>
    <t>A few Ramps only at ARC start, then quite</t>
  </si>
  <si>
    <t>Try to make ramp down slope bigger (I_Vally_Rampdown less)</t>
  </si>
  <si>
    <t>System-Test-Files\Test-133</t>
  </si>
  <si>
    <t>System-Test-Files\Test-134</t>
  </si>
  <si>
    <t>Nice Weld, but not as nice as one before</t>
  </si>
  <si>
    <t>A few Ramps only at ARC start, then quite, but few pulses after 13sec</t>
  </si>
  <si>
    <t>No Improvement suggestions. Proceed to increasing V_Feed</t>
  </si>
  <si>
    <t>Parameters to play with: I-Valley:I_Step, I_Ramp-Down Current</t>
  </si>
  <si>
    <t>System-Test-Files\Test-135</t>
  </si>
  <si>
    <t>Good Weld with some satter</t>
  </si>
  <si>
    <t>A few Ramps at start, and trains every few secs</t>
  </si>
  <si>
    <t>Increase V_Feed, and Vally current, and step current</t>
  </si>
  <si>
    <t>System-Test-Files\Test-136</t>
  </si>
  <si>
    <t>I_Sted=165V wasn’t enugh to sustain arc. Increase V-feed</t>
  </si>
  <si>
    <t>System-Test-Files\Test-137</t>
  </si>
  <si>
    <t>Weld is Ok, but a bit wobbly</t>
  </si>
  <si>
    <t>Multiple Ramps at start and ever sec or two, one current interruption</t>
  </si>
  <si>
    <t>Increase I_Vally</t>
  </si>
  <si>
    <t>System-Test-Files\Test-138</t>
  </si>
  <si>
    <t>Inrease V-Feed</t>
  </si>
  <si>
    <t>System-Test-Files\Test-139</t>
  </si>
  <si>
    <t>1V Feed</t>
  </si>
  <si>
    <t>6A Valley</t>
  </si>
  <si>
    <t>I_Av  ist</t>
  </si>
  <si>
    <t>Rams at Arc and every 400ms, Current is contineous</t>
  </si>
  <si>
    <t>System-Test-Files\Test-140</t>
  </si>
  <si>
    <t>Weld didn’t stick</t>
  </si>
  <si>
    <t>Increase I_step</t>
  </si>
  <si>
    <t>System-Test-Files\Test-141</t>
  </si>
  <si>
    <t>System-Test-Files\Test-142</t>
  </si>
  <si>
    <t>Increase I valley</t>
  </si>
  <si>
    <t>Ramps all the time, still no ARC</t>
  </si>
  <si>
    <t>System-Test-Files\Test-146</t>
  </si>
  <si>
    <t>System-Test-Files\Test-145</t>
  </si>
  <si>
    <t>System-Test-Files\Test-144</t>
  </si>
  <si>
    <t>System-Test-Files\Test-143</t>
  </si>
  <si>
    <t>No Arc</t>
  </si>
  <si>
    <t>two ramps then constant current</t>
  </si>
  <si>
    <t>Increase EA_THD to 1.9V</t>
  </si>
  <si>
    <t>System-Test-Files\Test-147</t>
  </si>
  <si>
    <t>V01.20</t>
  </si>
  <si>
    <t>System-Test-Files\Test-148</t>
  </si>
  <si>
    <t>System-Test-Files\Test-149</t>
  </si>
  <si>
    <t>A few Ramps at Arc, then a couple somewhere along the bead</t>
  </si>
  <si>
    <t>Increase V_Feed, try in SW to set EA_THD higher</t>
  </si>
  <si>
    <t>System-Test-Files\Test-150</t>
  </si>
  <si>
    <t>System-Test-Files\Test-151</t>
  </si>
  <si>
    <t>Increase Axial Motor Speed</t>
  </si>
  <si>
    <t>Freq[KHz]</t>
  </si>
  <si>
    <t>Travelled Distance[cm]</t>
  </si>
  <si>
    <t>18KHz</t>
  </si>
  <si>
    <t>Summary of Ramp2 Parameters of Good Weld beed</t>
  </si>
  <si>
    <t>Test Result</t>
  </si>
  <si>
    <t>F</t>
  </si>
  <si>
    <t>P</t>
  </si>
  <si>
    <t>I_Ramp-Down [A]</t>
  </si>
  <si>
    <t>(I-Step)-[(Ivally)-(I-Ramp-DWN)/2]</t>
  </si>
  <si>
    <t>Slope</t>
  </si>
  <si>
    <t>Y-intercept</t>
  </si>
  <si>
    <t>meter/(min*Volt)</t>
  </si>
  <si>
    <t>meter/min</t>
  </si>
  <si>
    <t>Axial Speed [cm/min]</t>
  </si>
  <si>
    <t>I_Av_Meas[A]</t>
  </si>
  <si>
    <t>Feed Speed [cm/min]</t>
  </si>
  <si>
    <t>Feed Speed[cm/min]</t>
  </si>
  <si>
    <t>+</t>
  </si>
  <si>
    <t>x Feed-speed[cm/min]</t>
  </si>
  <si>
    <t>Calculated Parameters Table</t>
  </si>
  <si>
    <t>v Feed[V]</t>
  </si>
  <si>
    <t>s Feed[cm/min}</t>
  </si>
  <si>
    <t>Pass</t>
  </si>
  <si>
    <t>Nice Weld</t>
  </si>
  <si>
    <t>Based on I-Step-1, and I-Valley , as calculated above, the following table results</t>
  </si>
  <si>
    <t>This is a a Re-validation of the current profile to result in Good Weld</t>
  </si>
  <si>
    <t>Nice Weld, only two pulses at arc, then quite</t>
  </si>
  <si>
    <t>Result</t>
  </si>
  <si>
    <t>I_Jump[A]</t>
  </si>
  <si>
    <t>I_Step-1- (I_Vally- I_Rampdown/2) = I-Jmp[A]</t>
  </si>
  <si>
    <t>I_Vally[A]=</t>
  </si>
  <si>
    <t>I_Av  ist[A]</t>
  </si>
  <si>
    <t>I_Av_Calc[A]</t>
  </si>
  <si>
    <t>I_Step-1[A]</t>
  </si>
  <si>
    <t>I_Valley_Set[A]</t>
  </si>
  <si>
    <t>It seems there is a 20A offset, that needs to be adjusted in MCU</t>
  </si>
  <si>
    <t>Axial Speed cm/min</t>
  </si>
  <si>
    <t>Include EA-THD as part of the structure</t>
  </si>
  <si>
    <t>The following measurements were performed with SW V01.19 , V01_20</t>
  </si>
  <si>
    <t>This calculation assumes SW V01_21 ( with corrected scaling factor for set currents = 10/11)</t>
  </si>
  <si>
    <t>Nice Weld, couple of Ramps at Arc then quite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</si>
</sst>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"/>
    <numFmt numFmtId="166" formatCode="0.0000"/>
  </numFmts>
  <fonts count="2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rgb="FF9C5700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006100"/>
      <name val="Calibri"/>
      <family val="2"/>
    </font>
    <font>
      <b/>
      <i/>
      <sz val="11"/>
      <color theme="1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6"/>
      <color rgb="FFFF0000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9C0006"/>
      <name val="Calibri"/>
      <family val="2"/>
      <scheme val="minor"/>
    </font>
    <font>
      <b/>
      <u/>
      <sz val="20"/>
      <color theme="1"/>
      <name val="Calibri"/>
      <family val="2"/>
      <scheme val="minor"/>
    </font>
    <font>
      <b/>
      <u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1"/>
      <name val="Calibri"/>
      <family val="2"/>
      <scheme val="minor"/>
    </font>
    <font>
      <strike/>
      <sz val="11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EB9C"/>
      </patternFill>
    </fill>
    <fill>
      <patternFill patternType="solid">
        <fgColor rgb="FFC6EFCE"/>
      </patternFill>
    </fill>
    <fill>
      <patternFill patternType="solid">
        <fgColor rgb="FFD9D9D9"/>
        <bgColor rgb="FF000000"/>
      </patternFill>
    </fill>
    <fill>
      <patternFill patternType="solid">
        <fgColor rgb="FFC6EFCE"/>
        <bgColor rgb="FFFFFFFF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2F2F2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A5A5A5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7F7F7F"/>
      </left>
      <right/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theme="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</borders>
  <cellStyleXfs count="7">
    <xf numFmtId="0" fontId="0" fillId="0" borderId="0"/>
    <xf numFmtId="0" fontId="2" fillId="4" borderId="0" applyNumberFormat="0" applyBorder="0" applyAlignment="0" applyProtection="0"/>
    <xf numFmtId="0" fontId="3" fillId="5" borderId="0" applyNumberFormat="0" applyBorder="0" applyAlignment="0" applyProtection="0"/>
    <xf numFmtId="0" fontId="6" fillId="9" borderId="2" applyNumberFormat="0" applyAlignment="0" applyProtection="0"/>
    <xf numFmtId="0" fontId="9" fillId="14" borderId="3" applyNumberFormat="0" applyAlignment="0" applyProtection="0"/>
    <xf numFmtId="0" fontId="15" fillId="0" borderId="0" applyNumberFormat="0" applyFill="0" applyBorder="0" applyAlignment="0" applyProtection="0"/>
    <xf numFmtId="0" fontId="19" fillId="22" borderId="0" applyNumberFormat="0" applyBorder="0" applyAlignment="0" applyProtection="0"/>
  </cellStyleXfs>
  <cellXfs count="138">
    <xf numFmtId="0" fontId="0" fillId="0" borderId="0" xfId="0"/>
    <xf numFmtId="0" fontId="0" fillId="2" borderId="1" xfId="0" applyFill="1" applyBorder="1"/>
    <xf numFmtId="0" fontId="0" fillId="0" borderId="1" xfId="0" applyBorder="1"/>
    <xf numFmtId="164" fontId="0" fillId="0" borderId="1" xfId="0" applyNumberFormat="1" applyBorder="1"/>
    <xf numFmtId="0" fontId="0" fillId="3" borderId="1" xfId="0" applyFill="1" applyBorder="1"/>
    <xf numFmtId="2" fontId="0" fillId="0" borderId="1" xfId="0" applyNumberFormat="1" applyBorder="1"/>
    <xf numFmtId="0" fontId="1" fillId="6" borderId="1" xfId="0" applyFont="1" applyFill="1" applyBorder="1"/>
    <xf numFmtId="2" fontId="1" fillId="0" borderId="1" xfId="0" applyNumberFormat="1" applyFont="1" applyFill="1" applyBorder="1"/>
    <xf numFmtId="164" fontId="1" fillId="0" borderId="1" xfId="0" applyNumberFormat="1" applyFont="1" applyFill="1" applyBorder="1"/>
    <xf numFmtId="2" fontId="4" fillId="7" borderId="1" xfId="2" applyNumberFormat="1" applyFont="1" applyFill="1" applyBorder="1"/>
    <xf numFmtId="164" fontId="1" fillId="0" borderId="0" xfId="0" applyNumberFormat="1" applyFont="1" applyFill="1" applyBorder="1"/>
    <xf numFmtId="1" fontId="1" fillId="0" borderId="1" xfId="0" applyNumberFormat="1" applyFont="1" applyFill="1" applyBorder="1"/>
    <xf numFmtId="164" fontId="4" fillId="7" borderId="1" xfId="2" applyNumberFormat="1" applyFont="1" applyFill="1" applyBorder="1"/>
    <xf numFmtId="0" fontId="1" fillId="0" borderId="1" xfId="0" applyFont="1" applyFill="1" applyBorder="1"/>
    <xf numFmtId="0" fontId="0" fillId="8" borderId="1" xfId="0" applyFill="1" applyBorder="1"/>
    <xf numFmtId="0" fontId="1" fillId="0" borderId="0" xfId="0" applyFont="1" applyFill="1" applyBorder="1"/>
    <xf numFmtId="1" fontId="1" fillId="0" borderId="0" xfId="0" applyNumberFormat="1" applyFont="1" applyFill="1" applyBorder="1"/>
    <xf numFmtId="0" fontId="5" fillId="10" borderId="0" xfId="0" applyFont="1" applyFill="1"/>
    <xf numFmtId="0" fontId="7" fillId="10" borderId="0" xfId="0" applyFont="1" applyFill="1" applyAlignment="1">
      <alignment horizontal="left"/>
    </xf>
    <xf numFmtId="1" fontId="5" fillId="10" borderId="0" xfId="0" applyNumberFormat="1" applyFont="1" applyFill="1"/>
    <xf numFmtId="0" fontId="7" fillId="10" borderId="0" xfId="0" applyFont="1" applyFill="1"/>
    <xf numFmtId="1" fontId="7" fillId="10" borderId="0" xfId="0" applyNumberFormat="1" applyFont="1" applyFill="1"/>
    <xf numFmtId="0" fontId="0" fillId="10" borderId="0" xfId="0" applyFill="1"/>
    <xf numFmtId="0" fontId="0" fillId="11" borderId="0" xfId="0" applyFill="1"/>
    <xf numFmtId="0" fontId="1" fillId="11" borderId="0" xfId="0" applyFont="1" applyFill="1" applyBorder="1"/>
    <xf numFmtId="0" fontId="8" fillId="10" borderId="0" xfId="0" applyFont="1" applyFill="1"/>
    <xf numFmtId="0" fontId="2" fillId="4" borderId="0" xfId="1" applyBorder="1"/>
    <xf numFmtId="165" fontId="0" fillId="0" borderId="1" xfId="0" applyNumberFormat="1" applyBorder="1"/>
    <xf numFmtId="0" fontId="0" fillId="13" borderId="1" xfId="0" applyFill="1" applyBorder="1"/>
    <xf numFmtId="0" fontId="0" fillId="12" borderId="1" xfId="0" applyFill="1" applyBorder="1"/>
    <xf numFmtId="0" fontId="9" fillId="14" borderId="3" xfId="4"/>
    <xf numFmtId="0" fontId="0" fillId="8" borderId="0" xfId="0" applyFill="1"/>
    <xf numFmtId="0" fontId="0" fillId="15" borderId="1" xfId="0" applyFill="1" applyBorder="1"/>
    <xf numFmtId="0" fontId="10" fillId="3" borderId="4" xfId="0" applyFont="1" applyFill="1" applyBorder="1"/>
    <xf numFmtId="0" fontId="10" fillId="3" borderId="5" xfId="0" applyFont="1" applyFill="1" applyBorder="1"/>
    <xf numFmtId="0" fontId="10" fillId="3" borderId="6" xfId="0" applyFont="1" applyFill="1" applyBorder="1"/>
    <xf numFmtId="0" fontId="11" fillId="0" borderId="0" xfId="0" applyFont="1"/>
    <xf numFmtId="0" fontId="0" fillId="16" borderId="0" xfId="0" applyFill="1"/>
    <xf numFmtId="0" fontId="12" fillId="12" borderId="0" xfId="0" applyFont="1" applyFill="1"/>
    <xf numFmtId="0" fontId="12" fillId="0" borderId="0" xfId="0" applyFont="1"/>
    <xf numFmtId="0" fontId="9" fillId="17" borderId="2" xfId="3" applyFont="1" applyFill="1"/>
    <xf numFmtId="0" fontId="2" fillId="4" borderId="0" xfId="1"/>
    <xf numFmtId="0" fontId="7" fillId="0" borderId="0" xfId="0" applyFont="1"/>
    <xf numFmtId="0" fontId="9" fillId="17" borderId="7" xfId="3" applyFont="1" applyFill="1" applyBorder="1"/>
    <xf numFmtId="0" fontId="0" fillId="0" borderId="8" xfId="0" applyBorder="1"/>
    <xf numFmtId="0" fontId="9" fillId="17" borderId="1" xfId="3" applyFont="1" applyFill="1" applyBorder="1"/>
    <xf numFmtId="0" fontId="13" fillId="0" borderId="0" xfId="0" applyFont="1"/>
    <xf numFmtId="0" fontId="14" fillId="0" borderId="0" xfId="0" applyFont="1"/>
    <xf numFmtId="0" fontId="7" fillId="3" borderId="0" xfId="0" applyFont="1" applyFill="1"/>
    <xf numFmtId="0" fontId="0" fillId="0" borderId="1" xfId="0" applyBorder="1" applyAlignment="1">
      <alignment wrapText="1"/>
    </xf>
    <xf numFmtId="0" fontId="0" fillId="0" borderId="1" xfId="0" applyFill="1" applyBorder="1"/>
    <xf numFmtId="0" fontId="0" fillId="0" borderId="9" xfId="0" applyBorder="1"/>
    <xf numFmtId="0" fontId="0" fillId="0" borderId="9" xfId="0" applyFill="1" applyBorder="1"/>
    <xf numFmtId="0" fontId="0" fillId="0" borderId="13" xfId="0" applyFill="1" applyBorder="1"/>
    <xf numFmtId="0" fontId="0" fillId="0" borderId="14" xfId="0" applyFill="1" applyBorder="1"/>
    <xf numFmtId="0" fontId="0" fillId="0" borderId="14" xfId="0" applyBorder="1"/>
    <xf numFmtId="0" fontId="15" fillId="0" borderId="15" xfId="5" applyBorder="1"/>
    <xf numFmtId="0" fontId="0" fillId="18" borderId="10" xfId="0" applyFill="1" applyBorder="1"/>
    <xf numFmtId="0" fontId="0" fillId="18" borderId="11" xfId="0" applyFill="1" applyBorder="1"/>
    <xf numFmtId="0" fontId="0" fillId="18" borderId="12" xfId="0" applyFill="1" applyBorder="1"/>
    <xf numFmtId="0" fontId="2" fillId="4" borderId="14" xfId="1" applyBorder="1"/>
    <xf numFmtId="0" fontId="2" fillId="4" borderId="13" xfId="1" applyBorder="1"/>
    <xf numFmtId="0" fontId="0" fillId="0" borderId="14" xfId="0" applyBorder="1" applyAlignment="1">
      <alignment wrapText="1"/>
    </xf>
    <xf numFmtId="2" fontId="0" fillId="0" borderId="14" xfId="0" applyNumberFormat="1" applyFill="1" applyBorder="1"/>
    <xf numFmtId="2" fontId="0" fillId="0" borderId="1" xfId="0" applyNumberFormat="1" applyFill="1" applyBorder="1"/>
    <xf numFmtId="0" fontId="0" fillId="0" borderId="0" xfId="0" applyFill="1"/>
    <xf numFmtId="0" fontId="2" fillId="0" borderId="14" xfId="1" applyFill="1" applyBorder="1"/>
    <xf numFmtId="0" fontId="0" fillId="0" borderId="14" xfId="0" applyFill="1" applyBorder="1" applyAlignment="1">
      <alignment wrapText="1"/>
    </xf>
    <xf numFmtId="0" fontId="0" fillId="0" borderId="15" xfId="0" applyBorder="1"/>
    <xf numFmtId="0" fontId="0" fillId="0" borderId="0" xfId="0" applyFill="1" applyBorder="1"/>
    <xf numFmtId="0" fontId="0" fillId="8" borderId="13" xfId="0" applyFill="1" applyBorder="1"/>
    <xf numFmtId="0" fontId="0" fillId="8" borderId="14" xfId="0" applyFill="1" applyBorder="1"/>
    <xf numFmtId="2" fontId="0" fillId="8" borderId="14" xfId="0" applyNumberFormat="1" applyFill="1" applyBorder="1"/>
    <xf numFmtId="0" fontId="15" fillId="8" borderId="15" xfId="5" applyFill="1" applyBorder="1"/>
    <xf numFmtId="0" fontId="0" fillId="0" borderId="1" xfId="0" applyFont="1" applyBorder="1"/>
    <xf numFmtId="0" fontId="15" fillId="0" borderId="0" xfId="5"/>
    <xf numFmtId="0" fontId="0" fillId="0" borderId="16" xfId="0" applyFont="1" applyBorder="1"/>
    <xf numFmtId="0" fontId="2" fillId="4" borderId="1" xfId="1" applyFont="1" applyFill="1" applyBorder="1"/>
    <xf numFmtId="0" fontId="15" fillId="0" borderId="8" xfId="5" applyBorder="1"/>
    <xf numFmtId="2" fontId="0" fillId="0" borderId="17" xfId="0" applyNumberFormat="1" applyFill="1" applyBorder="1"/>
    <xf numFmtId="0" fontId="0" fillId="0" borderId="1" xfId="0" applyFill="1" applyBorder="1" applyAlignment="1">
      <alignment wrapText="1"/>
    </xf>
    <xf numFmtId="0" fontId="2" fillId="4" borderId="9" xfId="1" applyBorder="1"/>
    <xf numFmtId="0" fontId="2" fillId="4" borderId="1" xfId="1" applyBorder="1"/>
    <xf numFmtId="0" fontId="3" fillId="5" borderId="14" xfId="2" applyBorder="1"/>
    <xf numFmtId="0" fontId="3" fillId="5" borderId="13" xfId="2" applyBorder="1"/>
    <xf numFmtId="2" fontId="3" fillId="5" borderId="14" xfId="2" applyNumberFormat="1" applyBorder="1"/>
    <xf numFmtId="0" fontId="3" fillId="5" borderId="9" xfId="2" applyBorder="1"/>
    <xf numFmtId="0" fontId="3" fillId="5" borderId="1" xfId="2" applyBorder="1"/>
    <xf numFmtId="2" fontId="3" fillId="5" borderId="17" xfId="2" applyNumberFormat="1" applyBorder="1"/>
    <xf numFmtId="2" fontId="3" fillId="5" borderId="1" xfId="2" applyNumberFormat="1" applyBorder="1"/>
    <xf numFmtId="2" fontId="2" fillId="4" borderId="17" xfId="1" applyNumberFormat="1" applyBorder="1"/>
    <xf numFmtId="0" fontId="3" fillId="19" borderId="9" xfId="2" applyFill="1" applyBorder="1"/>
    <xf numFmtId="0" fontId="0" fillId="20" borderId="1" xfId="0" applyFill="1" applyBorder="1"/>
    <xf numFmtId="0" fontId="3" fillId="21" borderId="9" xfId="2" applyFill="1" applyBorder="1"/>
    <xf numFmtId="0" fontId="3" fillId="21" borderId="1" xfId="2" applyFill="1" applyBorder="1"/>
    <xf numFmtId="0" fontId="2" fillId="21" borderId="1" xfId="1" applyFill="1" applyBorder="1"/>
    <xf numFmtId="2" fontId="3" fillId="21" borderId="17" xfId="2" applyNumberFormat="1" applyFill="1" applyBorder="1"/>
    <xf numFmtId="0" fontId="0" fillId="0" borderId="18" xfId="0" applyBorder="1"/>
    <xf numFmtId="0" fontId="19" fillId="22" borderId="1" xfId="6" applyBorder="1"/>
    <xf numFmtId="2" fontId="2" fillId="4" borderId="1" xfId="1" applyNumberFormat="1" applyBorder="1"/>
    <xf numFmtId="0" fontId="5" fillId="0" borderId="1" xfId="0" applyFont="1" applyBorder="1"/>
    <xf numFmtId="2" fontId="0" fillId="0" borderId="1" xfId="0" applyNumberFormat="1" applyFont="1" applyBorder="1"/>
    <xf numFmtId="0" fontId="3" fillId="5" borderId="1" xfId="2" applyFont="1" applyFill="1" applyBorder="1"/>
    <xf numFmtId="0" fontId="2" fillId="4" borderId="14" xfId="1" applyFont="1" applyFill="1" applyBorder="1"/>
    <xf numFmtId="2" fontId="3" fillId="5" borderId="1" xfId="2" applyNumberFormat="1" applyFont="1" applyFill="1" applyBorder="1"/>
    <xf numFmtId="0" fontId="3" fillId="5" borderId="14" xfId="2" applyFont="1" applyFill="1" applyBorder="1"/>
    <xf numFmtId="0" fontId="9" fillId="18" borderId="1" xfId="0" applyFont="1" applyFill="1" applyBorder="1"/>
    <xf numFmtId="0" fontId="3" fillId="5" borderId="0" xfId="2" applyBorder="1"/>
    <xf numFmtId="2" fontId="3" fillId="5" borderId="0" xfId="2" applyNumberFormat="1" applyBorder="1"/>
    <xf numFmtId="0" fontId="9" fillId="14" borderId="1" xfId="4" applyBorder="1"/>
    <xf numFmtId="0" fontId="0" fillId="0" borderId="3" xfId="0" applyFill="1" applyBorder="1"/>
    <xf numFmtId="0" fontId="5" fillId="0" borderId="0" xfId="0" applyFont="1" applyFill="1"/>
    <xf numFmtId="0" fontId="0" fillId="15" borderId="6" xfId="0" applyFill="1" applyBorder="1"/>
    <xf numFmtId="0" fontId="0" fillId="12" borderId="0" xfId="0" applyFill="1"/>
    <xf numFmtId="1" fontId="0" fillId="0" borderId="1" xfId="0" applyNumberFormat="1" applyBorder="1"/>
    <xf numFmtId="1" fontId="2" fillId="4" borderId="1" xfId="1" applyNumberFormat="1" applyBorder="1"/>
    <xf numFmtId="164" fontId="0" fillId="8" borderId="1" xfId="0" applyNumberFormat="1" applyFill="1" applyBorder="1"/>
    <xf numFmtId="2" fontId="2" fillId="8" borderId="1" xfId="1" applyNumberFormat="1" applyFill="1" applyBorder="1"/>
    <xf numFmtId="0" fontId="3" fillId="5" borderId="0" xfId="2"/>
    <xf numFmtId="1" fontId="0" fillId="8" borderId="1" xfId="0" applyNumberFormat="1" applyFill="1" applyBorder="1"/>
    <xf numFmtId="0" fontId="20" fillId="0" borderId="0" xfId="0" applyFont="1"/>
    <xf numFmtId="0" fontId="21" fillId="0" borderId="0" xfId="0" applyFont="1"/>
    <xf numFmtId="0" fontId="0" fillId="8" borderId="8" xfId="0" applyFill="1" applyBorder="1"/>
    <xf numFmtId="0" fontId="23" fillId="15" borderId="4" xfId="0" applyFont="1" applyFill="1" applyBorder="1"/>
    <xf numFmtId="0" fontId="22" fillId="15" borderId="5" xfId="0" applyFont="1" applyFill="1" applyBorder="1"/>
    <xf numFmtId="0" fontId="23" fillId="15" borderId="5" xfId="0" applyFont="1" applyFill="1" applyBorder="1"/>
    <xf numFmtId="0" fontId="22" fillId="15" borderId="5" xfId="0" applyFont="1" applyFill="1" applyBorder="1" applyAlignment="1">
      <alignment horizontal="center"/>
    </xf>
    <xf numFmtId="166" fontId="22" fillId="15" borderId="5" xfId="0" applyNumberFormat="1" applyFont="1" applyFill="1" applyBorder="1" applyAlignment="1">
      <alignment horizontal="left"/>
    </xf>
    <xf numFmtId="0" fontId="9" fillId="18" borderId="17" xfId="0" applyFont="1" applyFill="1" applyBorder="1"/>
    <xf numFmtId="0" fontId="24" fillId="21" borderId="0" xfId="2" applyFont="1" applyFill="1" applyBorder="1"/>
    <xf numFmtId="0" fontId="9" fillId="18" borderId="19" xfId="0" applyFont="1" applyFill="1" applyBorder="1"/>
    <xf numFmtId="2" fontId="3" fillId="5" borderId="14" xfId="2" applyNumberFormat="1" applyFont="1" applyFill="1" applyBorder="1"/>
    <xf numFmtId="2" fontId="2" fillId="4" borderId="1" xfId="1" applyNumberFormat="1" applyFont="1" applyFill="1" applyBorder="1"/>
    <xf numFmtId="0" fontId="25" fillId="21" borderId="0" xfId="2" applyFont="1" applyFill="1" applyBorder="1"/>
    <xf numFmtId="0" fontId="9" fillId="18" borderId="14" xfId="0" applyFont="1" applyFill="1" applyBorder="1"/>
    <xf numFmtId="0" fontId="0" fillId="8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Border="1" applyAlignment="1">
      <alignment horizontal="center"/>
    </xf>
  </cellXfs>
  <cellStyles count="7">
    <cellStyle name="Bad" xfId="6" builtinId="27"/>
    <cellStyle name="Calculation" xfId="3" builtinId="22"/>
    <cellStyle name="Check Cell" xfId="4" builtinId="23"/>
    <cellStyle name="Good" xfId="2" builtinId="26"/>
    <cellStyle name="Hyperlink" xfId="5" builtinId="8"/>
    <cellStyle name="Neutral" xfId="1" builtinId="28"/>
    <cellStyle name="Normal" xfId="0" builtinId="0"/>
  </cellStyles>
  <dxfs count="51">
    <dxf>
      <border diagonalUp="0" diagonalDown="0" outline="0">
        <left/>
        <right/>
        <top style="thin">
          <color indexed="64"/>
        </top>
        <bottom/>
      </border>
    </dxf>
    <dxf>
      <border diagonalUp="0" diagonalDown="0" outline="0">
        <left/>
        <right/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/>
        <right/>
        <top/>
        <bottom/>
      </border>
    </dxf>
    <dxf>
      <border diagonalUp="0" diagonalDown="0" outline="0">
        <left style="thin">
          <color indexed="64"/>
        </left>
        <right/>
        <top style="thin">
          <color indexed="64"/>
        </top>
        <bottom/>
      </border>
    </dxf>
    <dxf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numFmt numFmtId="2" formatCode="0.00"/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numFmt numFmtId="2" formatCode="0.00"/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numFmt numFmtId="2" formatCode="0.00"/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numFmt numFmtId="2" formatCode="0.00"/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  <border diagonalUp="0" diagonalDown="0" outline="0">
        <left/>
        <right style="thin">
          <color indexed="64"/>
        </right>
        <top style="thin">
          <color indexed="64"/>
        </top>
        <bottom/>
      </border>
    </dxf>
    <dxf>
      <fill>
        <patternFill patternType="none">
          <fgColor indexed="64"/>
          <bgColor indexed="65"/>
        </patternFill>
      </fill>
    </dxf>
    <dxf>
      <fill>
        <patternFill patternType="none">
          <fgColor indexed="64"/>
          <bgColor indexed="65"/>
        </patternFill>
      </fill>
    </dxf>
    <dxf>
      <fill>
        <patternFill patternType="none">
          <fgColor indexed="64"/>
          <bgColor indexed="65"/>
        </patternFill>
      </fill>
    </dxf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2" formatCode="0.00"/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2" formatCode="0.00"/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2" formatCode="0.00"/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/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none">
          <fgColor indexed="64"/>
          <bgColor indexed="65"/>
        </patternFill>
      </fill>
    </dxf>
    <dxf>
      <border outline="0">
        <bottom style="thin">
          <color indexed="64"/>
        </bottom>
      </border>
    </dxf>
    <dxf>
      <fill>
        <patternFill patternType="solid">
          <fgColor indexed="64"/>
          <bgColor theme="1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I_Valley_Set[A]  vs. V_Feed Speed[V]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'Ramp1,2 Test'!$H$123</c:f>
              <c:strCache>
                <c:ptCount val="1"/>
                <c:pt idx="0">
                  <c:v>I_Valley_Set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'Ramp1,2 Test'!$F$124:$F$140</c:f>
              <c:numCache>
                <c:formatCode>General</c:formatCode>
                <c:ptCount val="17"/>
                <c:pt idx="3">
                  <c:v>3.6</c:v>
                </c:pt>
                <c:pt idx="4">
                  <c:v>4</c:v>
                </c:pt>
                <c:pt idx="5">
                  <c:v>4.4000000000000004</c:v>
                </c:pt>
                <c:pt idx="6">
                  <c:v>4.8</c:v>
                </c:pt>
                <c:pt idx="7">
                  <c:v>5.2</c:v>
                </c:pt>
                <c:pt idx="8">
                  <c:v>5.6</c:v>
                </c:pt>
                <c:pt idx="9">
                  <c:v>6</c:v>
                </c:pt>
                <c:pt idx="10">
                  <c:v>6.4</c:v>
                </c:pt>
                <c:pt idx="11">
                  <c:v>6.5</c:v>
                </c:pt>
                <c:pt idx="12">
                  <c:v>6.8</c:v>
                </c:pt>
                <c:pt idx="13">
                  <c:v>7</c:v>
                </c:pt>
                <c:pt idx="14">
                  <c:v>7.2</c:v>
                </c:pt>
                <c:pt idx="15">
                  <c:v>7.6</c:v>
                </c:pt>
                <c:pt idx="16">
                  <c:v>8</c:v>
                </c:pt>
              </c:numCache>
            </c:numRef>
          </c:xVal>
          <c:yVal>
            <c:numRef>
              <c:f>'Ramp1,2 Test'!$H$124:$H$140</c:f>
              <c:numCache>
                <c:formatCode>General</c:formatCode>
                <c:ptCount val="17"/>
                <c:pt idx="3" formatCode="0.00">
                  <c:v>52.727272727272727</c:v>
                </c:pt>
                <c:pt idx="4" formatCode="0.00">
                  <c:v>58.18181818181818</c:v>
                </c:pt>
                <c:pt idx="5" formatCode="0.00">
                  <c:v>63.636363636363633</c:v>
                </c:pt>
                <c:pt idx="6" formatCode="0.00">
                  <c:v>70</c:v>
                </c:pt>
                <c:pt idx="7" formatCode="0.00">
                  <c:v>74.545454545454547</c:v>
                </c:pt>
                <c:pt idx="8" formatCode="0.00">
                  <c:v>80</c:v>
                </c:pt>
                <c:pt idx="9" formatCode="0.00">
                  <c:v>83.63636363636364</c:v>
                </c:pt>
                <c:pt idx="10" formatCode="0.00">
                  <c:v>93</c:v>
                </c:pt>
                <c:pt idx="11" formatCode="0.00">
                  <c:v>94.545454545454547</c:v>
                </c:pt>
                <c:pt idx="12" formatCode="0.00">
                  <c:v>100</c:v>
                </c:pt>
                <c:pt idx="13" formatCode="0.00">
                  <c:v>101.81818181818181</c:v>
                </c:pt>
                <c:pt idx="14" formatCode="0.00">
                  <c:v>104</c:v>
                </c:pt>
                <c:pt idx="15" formatCode="0.00">
                  <c:v>109.09090909090909</c:v>
                </c:pt>
                <c:pt idx="16" formatCode="0.00">
                  <c:v>118.18181818181819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B16-4929-881A-0BF01BA1F1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18682271"/>
        <c:axId val="343089679"/>
      </c:scatterChart>
      <c:valAx>
        <c:axId val="61868227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V_Feed[V]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3089679"/>
        <c:crosses val="autoZero"/>
        <c:crossBetween val="midCat"/>
      </c:valAx>
      <c:valAx>
        <c:axId val="34308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I_Vally_Set[A]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8682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dk1"/>
      </a:solidFill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I_Vally_Set [A] vs. Feed</a:t>
            </a:r>
            <a:r>
              <a:rPr lang="en-US" baseline="0"/>
              <a:t> Speed[cm/min]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'Ramp1,2 Test'!$G$124:$G$140</c:f>
              <c:numCache>
                <c:formatCode>General</c:formatCode>
                <c:ptCount val="17"/>
                <c:pt idx="3">
                  <c:v>202.74197922868291</c:v>
                </c:pt>
                <c:pt idx="4">
                  <c:v>233.19187008004229</c:v>
                </c:pt>
                <c:pt idx="5">
                  <c:v>263.64176093140173</c:v>
                </c:pt>
                <c:pt idx="6">
                  <c:v>294.09165178276106</c:v>
                </c:pt>
                <c:pt idx="7">
                  <c:v>324.5415426341205</c:v>
                </c:pt>
                <c:pt idx="8">
                  <c:v>354.99143348547983</c:v>
                </c:pt>
                <c:pt idx="9">
                  <c:v>385.44132433683927</c:v>
                </c:pt>
                <c:pt idx="10">
                  <c:v>415.89121518819871</c:v>
                </c:pt>
                <c:pt idx="11">
                  <c:v>423.50368790103852</c:v>
                </c:pt>
                <c:pt idx="12">
                  <c:v>446.34110603955804</c:v>
                </c:pt>
                <c:pt idx="13">
                  <c:v>461.56605146523776</c:v>
                </c:pt>
                <c:pt idx="14">
                  <c:v>476.79099689091748</c:v>
                </c:pt>
                <c:pt idx="15">
                  <c:v>507.24088774227681</c:v>
                </c:pt>
                <c:pt idx="16">
                  <c:v>537.6907785936362</c:v>
                </c:pt>
              </c:numCache>
            </c:numRef>
          </c:xVal>
          <c:yVal>
            <c:numRef>
              <c:f>'Ramp1,2 Test'!$H$124:$H$140</c:f>
              <c:numCache>
                <c:formatCode>General</c:formatCode>
                <c:ptCount val="17"/>
                <c:pt idx="3" formatCode="0.00">
                  <c:v>52.727272727272727</c:v>
                </c:pt>
                <c:pt idx="4" formatCode="0.00">
                  <c:v>58.18181818181818</c:v>
                </c:pt>
                <c:pt idx="5" formatCode="0.00">
                  <c:v>63.636363636363633</c:v>
                </c:pt>
                <c:pt idx="6" formatCode="0.00">
                  <c:v>70</c:v>
                </c:pt>
                <c:pt idx="7" formatCode="0.00">
                  <c:v>74.545454545454547</c:v>
                </c:pt>
                <c:pt idx="8" formatCode="0.00">
                  <c:v>80</c:v>
                </c:pt>
                <c:pt idx="9" formatCode="0.00">
                  <c:v>83.63636363636364</c:v>
                </c:pt>
                <c:pt idx="10" formatCode="0.00">
                  <c:v>93</c:v>
                </c:pt>
                <c:pt idx="11" formatCode="0.00">
                  <c:v>94.545454545454547</c:v>
                </c:pt>
                <c:pt idx="12" formatCode="0.00">
                  <c:v>100</c:v>
                </c:pt>
                <c:pt idx="13" formatCode="0.00">
                  <c:v>101.81818181818181</c:v>
                </c:pt>
                <c:pt idx="14" formatCode="0.00">
                  <c:v>104</c:v>
                </c:pt>
                <c:pt idx="15" formatCode="0.00">
                  <c:v>109.09090909090909</c:v>
                </c:pt>
                <c:pt idx="16" formatCode="0.00">
                  <c:v>118.18181818181819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DB3-426A-9628-69944D0D09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16414751"/>
        <c:axId val="516921807"/>
      </c:scatterChart>
      <c:valAx>
        <c:axId val="6164147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Feed Speed [cm/min]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921807"/>
        <c:crosses val="autoZero"/>
        <c:crossBetween val="midCat"/>
      </c:valAx>
      <c:valAx>
        <c:axId val="5169218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I_Vally-Set[A]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6414751"/>
        <c:crosses val="autoZero"/>
        <c:crossBetween val="midCat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dk1"/>
      </a:solidFill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I_Av_Meas[A] vs Feed Speed[V]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'Ramp1,2 Test'!$F$128:$F$140</c:f>
              <c:numCache>
                <c:formatCode>General</c:formatCode>
                <c:ptCount val="13"/>
                <c:pt idx="0">
                  <c:v>4</c:v>
                </c:pt>
                <c:pt idx="1">
                  <c:v>4.4000000000000004</c:v>
                </c:pt>
                <c:pt idx="2">
                  <c:v>4.8</c:v>
                </c:pt>
                <c:pt idx="3">
                  <c:v>5.2</c:v>
                </c:pt>
                <c:pt idx="4">
                  <c:v>5.6</c:v>
                </c:pt>
                <c:pt idx="5">
                  <c:v>6</c:v>
                </c:pt>
                <c:pt idx="6">
                  <c:v>6.4</c:v>
                </c:pt>
                <c:pt idx="7">
                  <c:v>6.5</c:v>
                </c:pt>
                <c:pt idx="8">
                  <c:v>6.8</c:v>
                </c:pt>
                <c:pt idx="9">
                  <c:v>7</c:v>
                </c:pt>
                <c:pt idx="10">
                  <c:v>7.2</c:v>
                </c:pt>
                <c:pt idx="11">
                  <c:v>7.6</c:v>
                </c:pt>
                <c:pt idx="12">
                  <c:v>8</c:v>
                </c:pt>
              </c:numCache>
            </c:numRef>
          </c:xVal>
          <c:yVal>
            <c:numRef>
              <c:f>'Ramp1,2 Test'!$I$128:$I$140</c:f>
              <c:numCache>
                <c:formatCode>0.00</c:formatCode>
                <c:ptCount val="13"/>
                <c:pt idx="0">
                  <c:v>49</c:v>
                </c:pt>
                <c:pt idx="1">
                  <c:v>57</c:v>
                </c:pt>
                <c:pt idx="2">
                  <c:v>63</c:v>
                </c:pt>
                <c:pt idx="4">
                  <c:v>70</c:v>
                </c:pt>
                <c:pt idx="6">
                  <c:v>79</c:v>
                </c:pt>
                <c:pt idx="8">
                  <c:v>85</c:v>
                </c:pt>
                <c:pt idx="10">
                  <c:v>87.5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189-4446-B35C-7F89080EBE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9185519"/>
        <c:axId val="401970735"/>
      </c:scatterChart>
      <c:valAx>
        <c:axId val="80918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V_Feed[V]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1970735"/>
        <c:crosses val="autoZero"/>
        <c:crossBetween val="midCat"/>
      </c:valAx>
      <c:valAx>
        <c:axId val="401970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 I_Av_Measu[A]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918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dk1"/>
      </a:solidFill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'Wire Feed Speed Table'!$F$4</c:f>
              <c:strCache>
                <c:ptCount val="1"/>
                <c:pt idx="0">
                  <c:v>Feed Speed [cm/min]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'Wire Feed Speed Table'!$E$5:$E$17</c:f>
              <c:numCache>
                <c:formatCode>General</c:formatCode>
                <c:ptCount val="13"/>
                <c:pt idx="0">
                  <c:v>3.2</c:v>
                </c:pt>
                <c:pt idx="1">
                  <c:v>3.4</c:v>
                </c:pt>
                <c:pt idx="2">
                  <c:v>3.6</c:v>
                </c:pt>
                <c:pt idx="3">
                  <c:v>3.8</c:v>
                </c:pt>
                <c:pt idx="4">
                  <c:v>4</c:v>
                </c:pt>
                <c:pt idx="5">
                  <c:v>4.2</c:v>
                </c:pt>
                <c:pt idx="6">
                  <c:v>4.4000000000000004</c:v>
                </c:pt>
                <c:pt idx="7">
                  <c:v>4.5999999999999996</c:v>
                </c:pt>
                <c:pt idx="8">
                  <c:v>5</c:v>
                </c:pt>
                <c:pt idx="9">
                  <c:v>6</c:v>
                </c:pt>
                <c:pt idx="10">
                  <c:v>10</c:v>
                </c:pt>
                <c:pt idx="11">
                  <c:v>15</c:v>
                </c:pt>
                <c:pt idx="12">
                  <c:v>22</c:v>
                </c:pt>
              </c:numCache>
            </c:numRef>
          </c:xVal>
          <c:yVal>
            <c:numRef>
              <c:f>'Wire Feed Speed Table'!$F$5:$F$17</c:f>
              <c:numCache>
                <c:formatCode>0.00</c:formatCode>
                <c:ptCount val="13"/>
                <c:pt idx="0">
                  <c:v>159</c:v>
                </c:pt>
                <c:pt idx="1">
                  <c:v>186</c:v>
                </c:pt>
                <c:pt idx="2">
                  <c:v>201</c:v>
                </c:pt>
                <c:pt idx="3">
                  <c:v>219</c:v>
                </c:pt>
                <c:pt idx="4">
                  <c:v>237</c:v>
                </c:pt>
                <c:pt idx="5">
                  <c:v>245.99999999999997</c:v>
                </c:pt>
                <c:pt idx="6">
                  <c:v>270</c:v>
                </c:pt>
                <c:pt idx="7">
                  <c:v>279</c:v>
                </c:pt>
                <c:pt idx="8">
                  <c:v>315</c:v>
                </c:pt>
                <c:pt idx="9">
                  <c:v>393.33333333333331</c:v>
                </c:pt>
                <c:pt idx="10">
                  <c:v>684</c:v>
                </c:pt>
                <c:pt idx="11">
                  <c:v>1070.5638684924256</c:v>
                </c:pt>
                <c:pt idx="12">
                  <c:v>1603.4369583912151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BFA-4791-9BF8-3818867773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30043775"/>
        <c:axId val="28175887"/>
      </c:scatterChart>
      <c:valAx>
        <c:axId val="18300437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Input Voltage to Feeder Motor [V]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8175887"/>
        <c:crosses val="autoZero"/>
        <c:crossBetween val="midCat"/>
      </c:valAx>
      <c:valAx>
        <c:axId val="281758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Wire Feed speed [m/min]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004377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accent5"/>
      </a:solidFill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'Trafo V02 Modified'!$G$671</c:f>
              <c:strCache>
                <c:ptCount val="1"/>
                <c:pt idx="0">
                  <c:v>Feeding Rate [inch/sec]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'Trafo V02 Modified'!$F$672:$F$677</c:f>
              <c:numCache>
                <c:formatCode>General</c:formatCode>
                <c:ptCount val="6"/>
                <c:pt idx="0">
                  <c:v>7.5</c:v>
                </c:pt>
                <c:pt idx="1">
                  <c:v>6.5</c:v>
                </c:pt>
                <c:pt idx="2">
                  <c:v>4.5</c:v>
                </c:pt>
                <c:pt idx="3">
                  <c:v>3</c:v>
                </c:pt>
                <c:pt idx="4">
                  <c:v>2.2000000000000002</c:v>
                </c:pt>
                <c:pt idx="5">
                  <c:v>1.4</c:v>
                </c:pt>
              </c:numCache>
            </c:numRef>
          </c:xVal>
          <c:yVal>
            <c:numRef>
              <c:f>'Trafo V02 Modified'!$G$672:$G$677</c:f>
              <c:numCache>
                <c:formatCode>General</c:formatCode>
                <c:ptCount val="6"/>
                <c:pt idx="0">
                  <c:v>3.35</c:v>
                </c:pt>
                <c:pt idx="1">
                  <c:v>3</c:v>
                </c:pt>
                <c:pt idx="2">
                  <c:v>2</c:v>
                </c:pt>
                <c:pt idx="3">
                  <c:v>1.2</c:v>
                </c:pt>
                <c:pt idx="4">
                  <c:v>0.8</c:v>
                </c:pt>
                <c:pt idx="5">
                  <c:v>0.4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A36-4590-8998-62DF63850D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4064640"/>
        <c:axId val="343825376"/>
      </c:scatterChart>
      <c:valAx>
        <c:axId val="4040646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3825376"/>
        <c:crosses val="autoZero"/>
        <c:crossBetween val="midCat"/>
      </c:valAx>
      <c:valAx>
        <c:axId val="34382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40646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dk1"/>
      </a:solidFill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3" Type="http://schemas.openxmlformats.org/officeDocument/2006/relationships/image" Target="../media/image6.png"/><Relationship Id="rId21" Type="http://schemas.openxmlformats.org/officeDocument/2006/relationships/image" Target="../media/image24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20" Type="http://schemas.openxmlformats.org/officeDocument/2006/relationships/image" Target="../media/image23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24" Type="http://schemas.openxmlformats.org/officeDocument/2006/relationships/image" Target="../media/image27.emf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23" Type="http://schemas.openxmlformats.org/officeDocument/2006/relationships/image" Target="../media/image26.png"/><Relationship Id="rId10" Type="http://schemas.openxmlformats.org/officeDocument/2006/relationships/image" Target="../media/image13.png"/><Relationship Id="rId19" Type="http://schemas.openxmlformats.org/officeDocument/2006/relationships/image" Target="../media/image22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Relationship Id="rId22" Type="http://schemas.openxmlformats.org/officeDocument/2006/relationships/image" Target="../media/image2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.xml"/><Relationship Id="rId3" Type="http://schemas.openxmlformats.org/officeDocument/2006/relationships/image" Target="../media/image30.png"/><Relationship Id="rId7" Type="http://schemas.openxmlformats.org/officeDocument/2006/relationships/chart" Target="../charts/chart2.xml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chart" Target="../charts/chart1.xml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52.png"/><Relationship Id="rId18" Type="http://schemas.openxmlformats.org/officeDocument/2006/relationships/chart" Target="../charts/chart5.xml"/><Relationship Id="rId3" Type="http://schemas.openxmlformats.org/officeDocument/2006/relationships/image" Target="../media/image42.emf"/><Relationship Id="rId7" Type="http://schemas.openxmlformats.org/officeDocument/2006/relationships/image" Target="../media/image46.png"/><Relationship Id="rId12" Type="http://schemas.openxmlformats.org/officeDocument/2006/relationships/image" Target="../media/image51.png"/><Relationship Id="rId17" Type="http://schemas.openxmlformats.org/officeDocument/2006/relationships/image" Target="../media/image56.png"/><Relationship Id="rId2" Type="http://schemas.openxmlformats.org/officeDocument/2006/relationships/image" Target="../media/image41.emf"/><Relationship Id="rId16" Type="http://schemas.openxmlformats.org/officeDocument/2006/relationships/image" Target="../media/image55.png"/><Relationship Id="rId1" Type="http://schemas.openxmlformats.org/officeDocument/2006/relationships/image" Target="../media/image40.emf"/><Relationship Id="rId6" Type="http://schemas.openxmlformats.org/officeDocument/2006/relationships/image" Target="../media/image45.png"/><Relationship Id="rId11" Type="http://schemas.openxmlformats.org/officeDocument/2006/relationships/image" Target="../media/image50.png"/><Relationship Id="rId5" Type="http://schemas.openxmlformats.org/officeDocument/2006/relationships/image" Target="../media/image44.png"/><Relationship Id="rId15" Type="http://schemas.openxmlformats.org/officeDocument/2006/relationships/image" Target="../media/image54.png"/><Relationship Id="rId10" Type="http://schemas.openxmlformats.org/officeDocument/2006/relationships/image" Target="../media/image49.png"/><Relationship Id="rId19" Type="http://schemas.openxmlformats.org/officeDocument/2006/relationships/image" Target="../media/image57.png"/><Relationship Id="rId4" Type="http://schemas.openxmlformats.org/officeDocument/2006/relationships/image" Target="../media/image43.emf"/><Relationship Id="rId9" Type="http://schemas.openxmlformats.org/officeDocument/2006/relationships/image" Target="../media/image48.png"/><Relationship Id="rId14" Type="http://schemas.openxmlformats.org/officeDocument/2006/relationships/image" Target="../media/image5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12</xdr:row>
      <xdr:rowOff>49767</xdr:rowOff>
    </xdr:from>
    <xdr:to>
      <xdr:col>2</xdr:col>
      <xdr:colOff>807118</xdr:colOff>
      <xdr:row>12</xdr:row>
      <xdr:rowOff>176640</xdr:rowOff>
    </xdr:to>
    <xdr:sp macro="" textlink="">
      <xdr:nvSpPr>
        <xdr:cNvPr id="18" name="Arrow: Right 17">
          <a:extLst>
            <a:ext uri="{FF2B5EF4-FFF2-40B4-BE49-F238E27FC236}">
              <a16:creationId xmlns:a16="http://schemas.microsoft.com/office/drawing/2014/main" id="{FA8355EC-E018-44DA-90DC-9DF13471B93A}"/>
            </a:ext>
          </a:extLst>
        </xdr:cNvPr>
        <xdr:cNvSpPr/>
      </xdr:nvSpPr>
      <xdr:spPr>
        <a:xfrm>
          <a:off x="0" y="2380591"/>
          <a:ext cx="2151824" cy="12687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0</xdr:colOff>
      <xdr:row>9</xdr:row>
      <xdr:rowOff>0</xdr:rowOff>
    </xdr:from>
    <xdr:to>
      <xdr:col>34</xdr:col>
      <xdr:colOff>575252</xdr:colOff>
      <xdr:row>43</xdr:row>
      <xdr:rowOff>31340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4BBFBD7-46DE-45DA-B754-7B774FDBB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88174" y="45181630"/>
          <a:ext cx="9752381" cy="600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9</xdr:row>
      <xdr:rowOff>0</xdr:rowOff>
    </xdr:from>
    <xdr:to>
      <xdr:col>51</xdr:col>
      <xdr:colOff>558687</xdr:colOff>
      <xdr:row>43</xdr:row>
      <xdr:rowOff>31340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EA863CC-4C98-4FFD-979C-4A97328C7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991130" y="45181630"/>
          <a:ext cx="9752381" cy="6000000"/>
        </a:xfrm>
        <a:prstGeom prst="rect">
          <a:avLst/>
        </a:prstGeom>
      </xdr:spPr>
    </xdr:pic>
    <xdr:clientData/>
  </xdr:twoCellAnchor>
  <xdr:twoCellAnchor editAs="oneCell">
    <xdr:from>
      <xdr:col>53</xdr:col>
      <xdr:colOff>0</xdr:colOff>
      <xdr:row>9</xdr:row>
      <xdr:rowOff>0</xdr:rowOff>
    </xdr:from>
    <xdr:to>
      <xdr:col>68</xdr:col>
      <xdr:colOff>558687</xdr:colOff>
      <xdr:row>43</xdr:row>
      <xdr:rowOff>31340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79D4813-A287-486E-BA45-C104D7A5D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410652" y="45181630"/>
          <a:ext cx="9752381" cy="6000000"/>
        </a:xfrm>
        <a:prstGeom prst="rect">
          <a:avLst/>
        </a:prstGeom>
      </xdr:spPr>
    </xdr:pic>
    <xdr:clientData/>
  </xdr:twoCellAnchor>
  <xdr:twoCellAnchor>
    <xdr:from>
      <xdr:col>4</xdr:col>
      <xdr:colOff>961143</xdr:colOff>
      <xdr:row>69</xdr:row>
      <xdr:rowOff>17610</xdr:rowOff>
    </xdr:from>
    <xdr:to>
      <xdr:col>10</xdr:col>
      <xdr:colOff>9125</xdr:colOff>
      <xdr:row>70</xdr:row>
      <xdr:rowOff>10486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BA5C6B24-B223-4C6E-AB48-E3D0BA57CC67}"/>
            </a:ext>
          </a:extLst>
        </xdr:cNvPr>
        <xdr:cNvSpPr/>
      </xdr:nvSpPr>
      <xdr:spPr>
        <a:xfrm>
          <a:off x="4883202" y="13487081"/>
          <a:ext cx="9615129" cy="18337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ln w="38100">
              <a:solidFill>
                <a:schemeClr val="tx1"/>
              </a:solidFill>
            </a:ln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59130</xdr:colOff>
      <xdr:row>1</xdr:row>
      <xdr:rowOff>156112</xdr:rowOff>
    </xdr:from>
    <xdr:to>
      <xdr:col>37</xdr:col>
      <xdr:colOff>607319</xdr:colOff>
      <xdr:row>52</xdr:row>
      <xdr:rowOff>79919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D2DF63-49FD-4EAF-8E4B-6445D7AB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7701" y="346612"/>
          <a:ext cx="18305511" cy="980259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8</xdr:col>
      <xdr:colOff>54430</xdr:colOff>
      <xdr:row>53</xdr:row>
      <xdr:rowOff>122977</xdr:rowOff>
    </xdr:from>
    <xdr:to>
      <xdr:col>39</xdr:col>
      <xdr:colOff>106463</xdr:colOff>
      <xdr:row>99</xdr:row>
      <xdr:rowOff>163118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7F7D74-CB3E-4708-959D-3DC94C6BD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53001" y="10219477"/>
          <a:ext cx="19033998" cy="880314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39</xdr:col>
      <xdr:colOff>190501</xdr:colOff>
      <xdr:row>54</xdr:row>
      <xdr:rowOff>173182</xdr:rowOff>
    </xdr:from>
    <xdr:to>
      <xdr:col>54</xdr:col>
      <xdr:colOff>272310</xdr:colOff>
      <xdr:row>78</xdr:row>
      <xdr:rowOff>78557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72BEAC-D0DB-4DFD-AB7B-4075B9FC2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29819" y="10460182"/>
          <a:ext cx="9173855" cy="447737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9</xdr:col>
      <xdr:colOff>367393</xdr:colOff>
      <xdr:row>105</xdr:row>
      <xdr:rowOff>40820</xdr:rowOff>
    </xdr:from>
    <xdr:to>
      <xdr:col>40</xdr:col>
      <xdr:colOff>322388</xdr:colOff>
      <xdr:row>151</xdr:row>
      <xdr:rowOff>88445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1CEC04-E05B-4334-A3D5-9B105EEF4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78286" y="20206606"/>
          <a:ext cx="18936959" cy="881062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40</xdr:col>
      <xdr:colOff>31852</xdr:colOff>
      <xdr:row>104</xdr:row>
      <xdr:rowOff>84735</xdr:rowOff>
    </xdr:from>
    <xdr:to>
      <xdr:col>55</xdr:col>
      <xdr:colOff>132714</xdr:colOff>
      <xdr:row>127</xdr:row>
      <xdr:rowOff>132978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CE73623-C1C6-48AD-8A91-2917EC648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524709" y="19896735"/>
          <a:ext cx="9285684" cy="442974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72746</xdr:colOff>
      <xdr:row>156</xdr:row>
      <xdr:rowOff>58468</xdr:rowOff>
    </xdr:from>
    <xdr:to>
      <xdr:col>54</xdr:col>
      <xdr:colOff>456837</xdr:colOff>
      <xdr:row>221</xdr:row>
      <xdr:rowOff>127741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44F0A56-483E-4059-8222-45EB94BB6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08282" y="29776468"/>
          <a:ext cx="26713912" cy="1245177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54428</xdr:colOff>
      <xdr:row>223</xdr:row>
      <xdr:rowOff>40821</xdr:rowOff>
    </xdr:from>
    <xdr:to>
      <xdr:col>40</xdr:col>
      <xdr:colOff>520975</xdr:colOff>
      <xdr:row>267</xdr:row>
      <xdr:rowOff>156307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C338235-4068-4A5E-AE91-1A579D0E4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89964" y="42685607"/>
          <a:ext cx="18223868" cy="849748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39</xdr:col>
      <xdr:colOff>571500</xdr:colOff>
      <xdr:row>227</xdr:row>
      <xdr:rowOff>68037</xdr:rowOff>
    </xdr:from>
    <xdr:to>
      <xdr:col>54</xdr:col>
      <xdr:colOff>417639</xdr:colOff>
      <xdr:row>247</xdr:row>
      <xdr:rowOff>59042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234D92F-FA8C-42C4-A2CE-255BFFDFD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452036" y="43311537"/>
          <a:ext cx="9030960" cy="380100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40</xdr:col>
      <xdr:colOff>54429</xdr:colOff>
      <xdr:row>272</xdr:row>
      <xdr:rowOff>27214</xdr:rowOff>
    </xdr:from>
    <xdr:to>
      <xdr:col>54</xdr:col>
      <xdr:colOff>512889</xdr:colOff>
      <xdr:row>292</xdr:row>
      <xdr:rowOff>18219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55C02E3-8B48-4370-AE47-516F83AFE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547286" y="51843214"/>
          <a:ext cx="9030960" cy="380100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10</xdr:col>
      <xdr:colOff>449036</xdr:colOff>
      <xdr:row>272</xdr:row>
      <xdr:rowOff>40823</xdr:rowOff>
    </xdr:from>
    <xdr:to>
      <xdr:col>40</xdr:col>
      <xdr:colOff>293735</xdr:colOff>
      <xdr:row>317</xdr:row>
      <xdr:rowOff>22967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A54EFC9-326E-4353-901D-032B53681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72250" y="52020109"/>
          <a:ext cx="18214342" cy="855464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10</xdr:col>
      <xdr:colOff>367393</xdr:colOff>
      <xdr:row>319</xdr:row>
      <xdr:rowOff>136071</xdr:rowOff>
    </xdr:from>
    <xdr:to>
      <xdr:col>40</xdr:col>
      <xdr:colOff>278776</xdr:colOff>
      <xdr:row>364</xdr:row>
      <xdr:rowOff>13425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70E0976-59F7-441F-BAB3-096B3C3F9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490607" y="61068857"/>
          <a:ext cx="18281026" cy="844985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39</xdr:col>
      <xdr:colOff>557893</xdr:colOff>
      <xdr:row>322</xdr:row>
      <xdr:rowOff>0</xdr:rowOff>
    </xdr:from>
    <xdr:to>
      <xdr:col>54</xdr:col>
      <xdr:colOff>499296</xdr:colOff>
      <xdr:row>342</xdr:row>
      <xdr:rowOff>29111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DCF2188-BE47-4EE6-85A0-B375176CD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438429" y="61341000"/>
          <a:ext cx="9126224" cy="383911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367</xdr:row>
      <xdr:rowOff>0</xdr:rowOff>
    </xdr:from>
    <xdr:to>
      <xdr:col>39</xdr:col>
      <xdr:colOff>428441</xdr:colOff>
      <xdr:row>417</xdr:row>
      <xdr:rowOff>77540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01805EC-6039-4BAF-AB26-514B10070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23214" y="69913500"/>
          <a:ext cx="18185763" cy="960254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39</xdr:col>
      <xdr:colOff>476249</xdr:colOff>
      <xdr:row>378</xdr:row>
      <xdr:rowOff>40822</xdr:rowOff>
    </xdr:from>
    <xdr:to>
      <xdr:col>54</xdr:col>
      <xdr:colOff>198546</xdr:colOff>
      <xdr:row>399</xdr:row>
      <xdr:rowOff>98538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5550711-1455-4A92-B868-D7F021A58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356785" y="72049822"/>
          <a:ext cx="8907118" cy="4058216"/>
        </a:xfrm>
        <a:prstGeom prst="rect">
          <a:avLst/>
        </a:prstGeom>
      </xdr:spPr>
    </xdr:pic>
    <xdr:clientData/>
  </xdr:twoCellAnchor>
  <xdr:twoCellAnchor editAs="oneCell">
    <xdr:from>
      <xdr:col>54</xdr:col>
      <xdr:colOff>285750</xdr:colOff>
      <xdr:row>378</xdr:row>
      <xdr:rowOff>0</xdr:rowOff>
    </xdr:from>
    <xdr:to>
      <xdr:col>70</xdr:col>
      <xdr:colOff>240988</xdr:colOff>
      <xdr:row>409</xdr:row>
      <xdr:rowOff>94500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AC1C13E-1A5F-4EA3-8E9E-23DCA6A0C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3351107" y="72009000"/>
          <a:ext cx="9752381" cy="6000000"/>
        </a:xfrm>
        <a:prstGeom prst="rect">
          <a:avLst/>
        </a:prstGeom>
      </xdr:spPr>
    </xdr:pic>
    <xdr:clientData/>
  </xdr:twoCellAnchor>
  <xdr:twoCellAnchor editAs="oneCell">
    <xdr:from>
      <xdr:col>39</xdr:col>
      <xdr:colOff>476250</xdr:colOff>
      <xdr:row>428</xdr:row>
      <xdr:rowOff>136071</xdr:rowOff>
    </xdr:from>
    <xdr:to>
      <xdr:col>54</xdr:col>
      <xdr:colOff>465284</xdr:colOff>
      <xdr:row>452</xdr:row>
      <xdr:rowOff>3341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5D604F0-175C-4748-805C-B484D9EDB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4356786" y="81670071"/>
          <a:ext cx="9173855" cy="443927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54</xdr:col>
      <xdr:colOff>503464</xdr:colOff>
      <xdr:row>428</xdr:row>
      <xdr:rowOff>95249</xdr:rowOff>
    </xdr:from>
    <xdr:to>
      <xdr:col>70</xdr:col>
      <xdr:colOff>458702</xdr:colOff>
      <xdr:row>459</xdr:row>
      <xdr:rowOff>189749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4368485-558F-4F1C-8A41-839C7500D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3568821" y="81629249"/>
          <a:ext cx="9752381" cy="600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426</xdr:row>
      <xdr:rowOff>0</xdr:rowOff>
    </xdr:from>
    <xdr:to>
      <xdr:col>39</xdr:col>
      <xdr:colOff>485599</xdr:colOff>
      <xdr:row>470</xdr:row>
      <xdr:rowOff>115486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2288F22-4B21-4F5C-856B-CDF26452C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123214" y="81153000"/>
          <a:ext cx="18242921" cy="849748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10</xdr:col>
      <xdr:colOff>0</xdr:colOff>
      <xdr:row>472</xdr:row>
      <xdr:rowOff>0</xdr:rowOff>
    </xdr:from>
    <xdr:to>
      <xdr:col>39</xdr:col>
      <xdr:colOff>495125</xdr:colOff>
      <xdr:row>516</xdr:row>
      <xdr:rowOff>182170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D09D1DE-B119-4A21-A622-A55B25A68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123214" y="89916000"/>
          <a:ext cx="18252447" cy="856417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39</xdr:col>
      <xdr:colOff>585107</xdr:colOff>
      <xdr:row>472</xdr:row>
      <xdr:rowOff>0</xdr:rowOff>
    </xdr:from>
    <xdr:to>
      <xdr:col>54</xdr:col>
      <xdr:colOff>297878</xdr:colOff>
      <xdr:row>490</xdr:row>
      <xdr:rowOff>133847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BA84E6F-33B7-4EE3-A119-E87B8BDDD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465643" y="89916000"/>
          <a:ext cx="8897592" cy="356284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54</xdr:col>
      <xdr:colOff>353787</xdr:colOff>
      <xdr:row>471</xdr:row>
      <xdr:rowOff>149679</xdr:rowOff>
    </xdr:from>
    <xdr:to>
      <xdr:col>70</xdr:col>
      <xdr:colOff>309025</xdr:colOff>
      <xdr:row>503</xdr:row>
      <xdr:rowOff>53679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355ADC6-E588-40BD-B652-594AFE96C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419144" y="89875179"/>
          <a:ext cx="9752381" cy="600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522</xdr:row>
      <xdr:rowOff>0</xdr:rowOff>
    </xdr:from>
    <xdr:to>
      <xdr:col>39</xdr:col>
      <xdr:colOff>476073</xdr:colOff>
      <xdr:row>566</xdr:row>
      <xdr:rowOff>153591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CD9B2F7-0DC3-432E-9CB4-205B1F46B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23214" y="99441000"/>
          <a:ext cx="18233395" cy="853559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40</xdr:col>
      <xdr:colOff>0</xdr:colOff>
      <xdr:row>522</xdr:row>
      <xdr:rowOff>0</xdr:rowOff>
    </xdr:from>
    <xdr:to>
      <xdr:col>54</xdr:col>
      <xdr:colOff>429881</xdr:colOff>
      <xdr:row>542</xdr:row>
      <xdr:rowOff>29111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1D442F4-E655-4E04-9A00-ACC7536A5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4492857" y="99441000"/>
          <a:ext cx="9002381" cy="3839111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598</xdr:row>
      <xdr:rowOff>0</xdr:rowOff>
    </xdr:from>
    <xdr:to>
      <xdr:col>71</xdr:col>
      <xdr:colOff>567560</xdr:colOff>
      <xdr:row>629</xdr:row>
      <xdr:rowOff>94500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1F8576B-91FB-4C28-BA89-49B7210CD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290000" y="114082286"/>
          <a:ext cx="9752381" cy="60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591</xdr:row>
      <xdr:rowOff>0</xdr:rowOff>
    </xdr:from>
    <xdr:to>
      <xdr:col>22</xdr:col>
      <xdr:colOff>381000</xdr:colOff>
      <xdr:row>616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300A10-08D4-4AD8-AF27-1C81CB5405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112937925"/>
          <a:ext cx="9525000" cy="476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142876</xdr:rowOff>
    </xdr:from>
    <xdr:to>
      <xdr:col>3</xdr:col>
      <xdr:colOff>1428271</xdr:colOff>
      <xdr:row>73</xdr:row>
      <xdr:rowOff>161925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8AF77F-F36B-4F95-9067-9F16FA0F6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3876"/>
          <a:ext cx="3257071" cy="1647824"/>
        </a:xfrm>
        <a:prstGeom prst="rect">
          <a:avLst/>
        </a:prstGeom>
      </xdr:spPr>
    </xdr:pic>
    <xdr:clientData/>
  </xdr:twoCellAnchor>
  <xdr:twoCellAnchor editAs="oneCell">
    <xdr:from>
      <xdr:col>23</xdr:col>
      <xdr:colOff>9525</xdr:colOff>
      <xdr:row>10</xdr:row>
      <xdr:rowOff>9525</xdr:rowOff>
    </xdr:from>
    <xdr:to>
      <xdr:col>23</xdr:col>
      <xdr:colOff>295275</xdr:colOff>
      <xdr:row>44</xdr:row>
      <xdr:rowOff>175803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E73A34-D681-43D1-B2A3-ABD9F25A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98225" y="2295525"/>
          <a:ext cx="285750" cy="175803"/>
        </a:xfrm>
        <a:prstGeom prst="rect">
          <a:avLst/>
        </a:prstGeom>
      </xdr:spPr>
    </xdr:pic>
    <xdr:clientData/>
  </xdr:twoCellAnchor>
  <xdr:twoCellAnchor editAs="oneCell">
    <xdr:from>
      <xdr:col>22</xdr:col>
      <xdr:colOff>4408855</xdr:colOff>
      <xdr:row>11</xdr:row>
      <xdr:rowOff>24171</xdr:rowOff>
    </xdr:from>
    <xdr:to>
      <xdr:col>23</xdr:col>
      <xdr:colOff>253647</xdr:colOff>
      <xdr:row>44</xdr:row>
      <xdr:rowOff>156803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4C83697-D9F5-4345-898D-B78AF8DEA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flipH="1">
          <a:off x="23887480" y="2500671"/>
          <a:ext cx="254867" cy="156803"/>
        </a:xfrm>
        <a:prstGeom prst="rect">
          <a:avLst/>
        </a:prstGeom>
      </xdr:spPr>
    </xdr:pic>
    <xdr:clientData/>
  </xdr:twoCellAnchor>
  <xdr:twoCellAnchor editAs="oneCell">
    <xdr:from>
      <xdr:col>23</xdr:col>
      <xdr:colOff>6594</xdr:colOff>
      <xdr:row>12</xdr:row>
      <xdr:rowOff>20133</xdr:rowOff>
    </xdr:from>
    <xdr:to>
      <xdr:col>23</xdr:col>
      <xdr:colOff>300403</xdr:colOff>
      <xdr:row>44</xdr:row>
      <xdr:rowOff>180762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5707B9-93F3-4B92-8A5E-A7C04342C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10800000" flipV="1">
          <a:off x="23892363" y="2687133"/>
          <a:ext cx="293809" cy="180762"/>
        </a:xfrm>
        <a:prstGeom prst="rect">
          <a:avLst/>
        </a:prstGeom>
      </xdr:spPr>
    </xdr:pic>
    <xdr:clientData/>
  </xdr:twoCellAnchor>
  <xdr:twoCellAnchor editAs="oneCell">
    <xdr:from>
      <xdr:col>36</xdr:col>
      <xdr:colOff>219075</xdr:colOff>
      <xdr:row>16</xdr:row>
      <xdr:rowOff>152400</xdr:rowOff>
    </xdr:from>
    <xdr:to>
      <xdr:col>46</xdr:col>
      <xdr:colOff>594511</xdr:colOff>
      <xdr:row>119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82FD29-1471-4231-98CD-A4E309A0D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004750" y="2057400"/>
          <a:ext cx="6471436" cy="3981450"/>
        </a:xfrm>
        <a:prstGeom prst="rect">
          <a:avLst/>
        </a:prstGeom>
      </xdr:spPr>
    </xdr:pic>
    <xdr:clientData/>
  </xdr:twoCellAnchor>
  <xdr:twoCellAnchor>
    <xdr:from>
      <xdr:col>11</xdr:col>
      <xdr:colOff>238126</xdr:colOff>
      <xdr:row>143</xdr:row>
      <xdr:rowOff>104775</xdr:rowOff>
    </xdr:from>
    <xdr:to>
      <xdr:col>18</xdr:col>
      <xdr:colOff>314326</xdr:colOff>
      <xdr:row>155</xdr:row>
      <xdr:rowOff>66675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C336DCA7-B04D-431F-9199-7CBEA441DA1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</xdr:col>
      <xdr:colOff>685799</xdr:colOff>
      <xdr:row>142</xdr:row>
      <xdr:rowOff>14287</xdr:rowOff>
    </xdr:from>
    <xdr:to>
      <xdr:col>11</xdr:col>
      <xdr:colOff>228599</xdr:colOff>
      <xdr:row>156</xdr:row>
      <xdr:rowOff>90487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E16E0673-6F5A-402F-B79A-CCB3D3665D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13</xdr:col>
      <xdr:colOff>19050</xdr:colOff>
      <xdr:row>124</xdr:row>
      <xdr:rowOff>185737</xdr:rowOff>
    </xdr:from>
    <xdr:to>
      <xdr:col>19</xdr:col>
      <xdr:colOff>457200</xdr:colOff>
      <xdr:row>143</xdr:row>
      <xdr:rowOff>61912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32ECF93A-01CA-432C-B438-A9B66128E2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590549</xdr:colOff>
      <xdr:row>5</xdr:row>
      <xdr:rowOff>19050</xdr:rowOff>
    </xdr:from>
    <xdr:to>
      <xdr:col>21</xdr:col>
      <xdr:colOff>19050</xdr:colOff>
      <xdr:row>28</xdr:row>
      <xdr:rowOff>95249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5827AD8-4DC0-4280-BD78-0D7201AF57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33</xdr:col>
      <xdr:colOff>327754</xdr:colOff>
      <xdr:row>49</xdr:row>
      <xdr:rowOff>125012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6AF18F-559E-48B4-BE7D-F08BA3270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400" y="952500"/>
          <a:ext cx="18223868" cy="8507012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11</xdr:row>
      <xdr:rowOff>0</xdr:rowOff>
    </xdr:from>
    <xdr:to>
      <xdr:col>50</xdr:col>
      <xdr:colOff>29854</xdr:colOff>
      <xdr:row>19</xdr:row>
      <xdr:rowOff>133581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56E85B8-832E-4BE3-8918-88B8812D8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36000" y="2095500"/>
          <a:ext cx="9173855" cy="165758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6</xdr:col>
      <xdr:colOff>408213</xdr:colOff>
      <xdr:row>52</xdr:row>
      <xdr:rowOff>13607</xdr:rowOff>
    </xdr:from>
    <xdr:to>
      <xdr:col>31</xdr:col>
      <xdr:colOff>447094</xdr:colOff>
      <xdr:row>94</xdr:row>
      <xdr:rowOff>14724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5D06F3C-9556-46EA-A6DF-8AD3D5A41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82142" y="9919607"/>
          <a:ext cx="15346917" cy="8002117"/>
        </a:xfrm>
        <a:prstGeom prst="rect">
          <a:avLst/>
        </a:prstGeom>
      </xdr:spPr>
    </xdr:pic>
    <xdr:clientData/>
  </xdr:twoCellAnchor>
  <xdr:twoCellAnchor editAs="oneCell">
    <xdr:from>
      <xdr:col>6</xdr:col>
      <xdr:colOff>435428</xdr:colOff>
      <xdr:row>94</xdr:row>
      <xdr:rowOff>68036</xdr:rowOff>
    </xdr:from>
    <xdr:to>
      <xdr:col>32</xdr:col>
      <xdr:colOff>309725</xdr:colOff>
      <xdr:row>137</xdr:row>
      <xdr:rowOff>135864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4B13E7B-144D-4308-8302-44B94F476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27071" y="17975036"/>
          <a:ext cx="15794654" cy="82593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40822</xdr:colOff>
      <xdr:row>8</xdr:row>
      <xdr:rowOff>163285</xdr:rowOff>
    </xdr:from>
    <xdr:to>
      <xdr:col>40</xdr:col>
      <xdr:colOff>507369</xdr:colOff>
      <xdr:row>53</xdr:row>
      <xdr:rowOff>154955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49E251-5DE8-4403-848F-AF4036659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57608" y="1687285"/>
          <a:ext cx="18223868" cy="856417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55</xdr:row>
      <xdr:rowOff>0</xdr:rowOff>
    </xdr:from>
    <xdr:to>
      <xdr:col>40</xdr:col>
      <xdr:colOff>485600</xdr:colOff>
      <xdr:row>101</xdr:row>
      <xdr:rowOff>29802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D20002-246A-46B2-8460-50BB57ADB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16786" y="10477500"/>
          <a:ext cx="18242921" cy="879280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0</xdr:col>
      <xdr:colOff>381000</xdr:colOff>
      <xdr:row>62</xdr:row>
      <xdr:rowOff>108857</xdr:rowOff>
    </xdr:from>
    <xdr:to>
      <xdr:col>10</xdr:col>
      <xdr:colOff>450232</xdr:colOff>
      <xdr:row>95</xdr:row>
      <xdr:rowOff>4945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B59A368-DAEA-492A-B317-29445907D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1919857"/>
          <a:ext cx="8573696" cy="618258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</xdr:colOff>
      <xdr:row>5</xdr:row>
      <xdr:rowOff>19050</xdr:rowOff>
    </xdr:from>
    <xdr:to>
      <xdr:col>23</xdr:col>
      <xdr:colOff>542925</xdr:colOff>
      <xdr:row>30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602DA6-9772-479D-8C89-6561B2F15F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975" y="971550"/>
          <a:ext cx="9667875" cy="476250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19050</xdr:colOff>
      <xdr:row>5</xdr:row>
      <xdr:rowOff>9525</xdr:rowOff>
    </xdr:from>
    <xdr:to>
      <xdr:col>39</xdr:col>
      <xdr:colOff>400051</xdr:colOff>
      <xdr:row>30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4757E23-C3F9-42F1-AA18-8CB510713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92375" y="962025"/>
          <a:ext cx="9525000" cy="476250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32</xdr:row>
      <xdr:rowOff>0</xdr:rowOff>
    </xdr:from>
    <xdr:to>
      <xdr:col>23</xdr:col>
      <xdr:colOff>381000</xdr:colOff>
      <xdr:row>57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37E84D-5F13-4EB6-8F89-707A4ACF2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95925" y="6096000"/>
          <a:ext cx="9525000" cy="476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60</xdr:row>
      <xdr:rowOff>0</xdr:rowOff>
    </xdr:from>
    <xdr:to>
      <xdr:col>16</xdr:col>
      <xdr:colOff>66675</xdr:colOff>
      <xdr:row>85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C521E0E-B05E-4679-9A4F-F9038DE466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11430000"/>
          <a:ext cx="9525000" cy="476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86</xdr:row>
      <xdr:rowOff>0</xdr:rowOff>
    </xdr:from>
    <xdr:to>
      <xdr:col>30</xdr:col>
      <xdr:colOff>202564</xdr:colOff>
      <xdr:row>131</xdr:row>
      <xdr:rowOff>58354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85322C-267B-48DE-AAA8-BE66A9AB9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24200" y="16383000"/>
          <a:ext cx="18195289" cy="863085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133</xdr:row>
      <xdr:rowOff>0</xdr:rowOff>
    </xdr:from>
    <xdr:to>
      <xdr:col>30</xdr:col>
      <xdr:colOff>231143</xdr:colOff>
      <xdr:row>177</xdr:row>
      <xdr:rowOff>172646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8FAEDE1-E69C-4BCE-A758-6A96253EB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24200" y="25336500"/>
          <a:ext cx="18223868" cy="857369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134</xdr:row>
      <xdr:rowOff>0</xdr:rowOff>
    </xdr:from>
    <xdr:to>
      <xdr:col>49</xdr:col>
      <xdr:colOff>58434</xdr:colOff>
      <xdr:row>157</xdr:row>
      <xdr:rowOff>124455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8F727FE-03B3-417D-92A0-477574EA2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45525" y="25527000"/>
          <a:ext cx="9202434" cy="4515480"/>
        </a:xfrm>
        <a:prstGeom prst="rect">
          <a:avLst/>
        </a:prstGeom>
      </xdr:spPr>
    </xdr:pic>
    <xdr:clientData/>
  </xdr:twoCellAnchor>
  <xdr:twoCellAnchor editAs="oneCell">
    <xdr:from>
      <xdr:col>34</xdr:col>
      <xdr:colOff>238125</xdr:colOff>
      <xdr:row>184</xdr:row>
      <xdr:rowOff>166688</xdr:rowOff>
    </xdr:from>
    <xdr:to>
      <xdr:col>49</xdr:col>
      <xdr:colOff>267980</xdr:colOff>
      <xdr:row>208</xdr:row>
      <xdr:rowOff>43484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5A87F5-CD30-4D33-8EE8-24C3DE040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883688" y="35218688"/>
          <a:ext cx="9316730" cy="444879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</xdr:col>
      <xdr:colOff>0</xdr:colOff>
      <xdr:row>185</xdr:row>
      <xdr:rowOff>0</xdr:rowOff>
    </xdr:from>
    <xdr:to>
      <xdr:col>30</xdr:col>
      <xdr:colOff>278775</xdr:colOff>
      <xdr:row>229</xdr:row>
      <xdr:rowOff>77382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1224B15-D7D9-4391-809E-7F1523641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24200" y="35271075"/>
          <a:ext cx="18271500" cy="846890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</xdr:col>
      <xdr:colOff>0</xdr:colOff>
      <xdr:row>236</xdr:row>
      <xdr:rowOff>0</xdr:rowOff>
    </xdr:from>
    <xdr:to>
      <xdr:col>30</xdr:col>
      <xdr:colOff>364495</xdr:colOff>
      <xdr:row>282</xdr:row>
      <xdr:rowOff>128165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8405C33-C056-4B09-838B-541401475A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04029" y="45002824"/>
          <a:ext cx="18233395" cy="8935697"/>
        </a:xfrm>
        <a:prstGeom prst="rect">
          <a:avLst/>
        </a:prstGeom>
      </xdr:spPr>
    </xdr:pic>
    <xdr:clientData/>
  </xdr:twoCellAnchor>
  <xdr:twoCellAnchor editAs="oneCell">
    <xdr:from>
      <xdr:col>5</xdr:col>
      <xdr:colOff>40821</xdr:colOff>
      <xdr:row>285</xdr:row>
      <xdr:rowOff>27214</xdr:rowOff>
    </xdr:from>
    <xdr:to>
      <xdr:col>30</xdr:col>
      <xdr:colOff>332574</xdr:colOff>
      <xdr:row>330</xdr:row>
      <xdr:rowOff>14803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5C54B77-3C70-4701-9F19-5F7B17ED91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70464" y="54428571"/>
          <a:ext cx="18364760" cy="857369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</xdr:col>
      <xdr:colOff>54428</xdr:colOff>
      <xdr:row>330</xdr:row>
      <xdr:rowOff>176893</xdr:rowOff>
    </xdr:from>
    <xdr:to>
      <xdr:col>30</xdr:col>
      <xdr:colOff>374775</xdr:colOff>
      <xdr:row>376</xdr:row>
      <xdr:rowOff>108858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8B3CC74-A868-4D09-8632-32B9117D8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84071" y="63164357"/>
          <a:ext cx="18393354" cy="870857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</xdr:col>
      <xdr:colOff>136071</xdr:colOff>
      <xdr:row>376</xdr:row>
      <xdr:rowOff>176893</xdr:rowOff>
    </xdr:from>
    <xdr:to>
      <xdr:col>30</xdr:col>
      <xdr:colOff>378278</xdr:colOff>
      <xdr:row>421</xdr:row>
      <xdr:rowOff>122875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7BB97E7-6D1F-4F1D-8EC8-8D026C302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265714" y="71940964"/>
          <a:ext cx="18315214" cy="851848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35</xdr:col>
      <xdr:colOff>0</xdr:colOff>
      <xdr:row>377</xdr:row>
      <xdr:rowOff>0</xdr:rowOff>
    </xdr:from>
    <xdr:to>
      <xdr:col>64</xdr:col>
      <xdr:colOff>221613</xdr:colOff>
      <xdr:row>421</xdr:row>
      <xdr:rowOff>182170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2C529D7-04DA-4497-9AA9-3695C2EA5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264688" y="71818500"/>
          <a:ext cx="18176237" cy="856417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423</xdr:row>
      <xdr:rowOff>0</xdr:rowOff>
    </xdr:from>
    <xdr:to>
      <xdr:col>56</xdr:col>
      <xdr:colOff>609599</xdr:colOff>
      <xdr:row>509</xdr:row>
      <xdr:rowOff>64014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287E2B1-B8DA-4F36-8F83-8CE3B424D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167063" y="80581500"/>
          <a:ext cx="34956749" cy="1644701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511</xdr:row>
      <xdr:rowOff>-1</xdr:rowOff>
    </xdr:from>
    <xdr:to>
      <xdr:col>55</xdr:col>
      <xdr:colOff>585787</xdr:colOff>
      <xdr:row>607</xdr:row>
      <xdr:rowOff>184536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41927F-9FDD-4E10-B02B-921632ED1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167063" y="97345499"/>
          <a:ext cx="34313812" cy="18472537"/>
        </a:xfrm>
        <a:prstGeom prst="rect">
          <a:avLst/>
        </a:prstGeom>
      </xdr:spPr>
    </xdr:pic>
    <xdr:clientData/>
  </xdr:twoCellAnchor>
  <xdr:twoCellAnchor editAs="oneCell">
    <xdr:from>
      <xdr:col>5</xdr:col>
      <xdr:colOff>86591</xdr:colOff>
      <xdr:row>609</xdr:row>
      <xdr:rowOff>0</xdr:rowOff>
    </xdr:from>
    <xdr:to>
      <xdr:col>30</xdr:col>
      <xdr:colOff>406923</xdr:colOff>
      <xdr:row>659</xdr:row>
      <xdr:rowOff>87066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AC01F69-9741-44E0-A394-EC59D3BA7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203864" y="116187682"/>
          <a:ext cx="18223868" cy="9612066"/>
        </a:xfrm>
        <a:prstGeom prst="rect">
          <a:avLst/>
        </a:prstGeom>
      </xdr:spPr>
    </xdr:pic>
    <xdr:clientData/>
  </xdr:twoCellAnchor>
  <xdr:twoCellAnchor>
    <xdr:from>
      <xdr:col>9</xdr:col>
      <xdr:colOff>19050</xdr:colOff>
      <xdr:row>667</xdr:row>
      <xdr:rowOff>4762</xdr:rowOff>
    </xdr:from>
    <xdr:to>
      <xdr:col>16</xdr:col>
      <xdr:colOff>323850</xdr:colOff>
      <xdr:row>681</xdr:row>
      <xdr:rowOff>80962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DDDDF332-8E57-4FEC-B839-C8465101C21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 editAs="oneCell">
    <xdr:from>
      <xdr:col>7</xdr:col>
      <xdr:colOff>28575</xdr:colOff>
      <xdr:row>686</xdr:row>
      <xdr:rowOff>171450</xdr:rowOff>
    </xdr:from>
    <xdr:to>
      <xdr:col>17</xdr:col>
      <xdr:colOff>181928</xdr:colOff>
      <xdr:row>697</xdr:row>
      <xdr:rowOff>95532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1B2C4B0-E76A-46A1-B70B-EC0C93BC7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610350" y="131025900"/>
          <a:ext cx="6830378" cy="201958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1</xdr:row>
      <xdr:rowOff>28575</xdr:rowOff>
    </xdr:from>
    <xdr:to>
      <xdr:col>14</xdr:col>
      <xdr:colOff>439309</xdr:colOff>
      <xdr:row>13</xdr:row>
      <xdr:rowOff>105105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E28AAC-561D-403B-A953-41666A931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219075"/>
          <a:ext cx="8306959" cy="236253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457200</xdr:colOff>
      <xdr:row>13</xdr:row>
      <xdr:rowOff>0</xdr:rowOff>
    </xdr:from>
    <xdr:to>
      <xdr:col>19</xdr:col>
      <xdr:colOff>430067</xdr:colOff>
      <xdr:row>17</xdr:row>
      <xdr:rowOff>152528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B25B8C-9A3C-418C-AABB-7522471CE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76400" y="2476500"/>
          <a:ext cx="10336067" cy="91452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12</xdr:col>
      <xdr:colOff>0</xdr:colOff>
      <xdr:row>27</xdr:row>
      <xdr:rowOff>136556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B2E31F0-2F62-4927-A2BF-B44807CB7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429000"/>
          <a:ext cx="6705600" cy="185105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9CD4E3F-B48A-4E1A-BED2-716A4CBDFB7F}" name="Table1" displayName="Table1" ref="E4:AA110" totalsRowCount="1" headerRowDxfId="50" dataDxfId="48" headerRowBorderDxfId="49" tableBorderDxfId="47" totalsRowBorderDxfId="46">
  <autoFilter ref="E4:AA109" xr:uid="{81108529-36FF-409C-A943-F61DB8D41C08}">
    <filterColumn colId="8">
      <filters>
        <filter val="50"/>
      </filters>
    </filterColumn>
    <filterColumn colId="16">
      <filters>
        <filter val="P"/>
      </filters>
    </filterColumn>
  </autoFilter>
  <sortState ref="E9:Z79">
    <sortCondition ref="N4:N109"/>
  </sortState>
  <tableColumns count="23">
    <tableColumn id="1" xr3:uid="{C72DDEB3-A18D-4628-8A85-15A28512A16C}" name="I_Valley_Set" dataDxfId="45" totalsRowDxfId="22"/>
    <tableColumn id="2" xr3:uid="{88E6E396-6B34-4EAB-90AD-79D909F90969}" name="I_Step-1" dataDxfId="44" totalsRowDxfId="21"/>
    <tableColumn id="3" xr3:uid="{04ACE006-9945-4BF3-91C7-7A36760BFB46}" name="T-step[ms]" dataDxfId="43" totalsRowDxfId="20"/>
    <tableColumn id="4" xr3:uid="{68261E4C-BF7D-41EE-A403-228D591ED61E}" name="T-rise[ms]" dataDxfId="42" totalsRowDxfId="19"/>
    <tableColumn id="5" xr3:uid="{B1446914-C589-4A4F-BA78-CBFC0E4E12B1}" name="I-Peak[A]" dataDxfId="41" totalsRowDxfId="18"/>
    <tableColumn id="6" xr3:uid="{857557E1-33A7-457B-BB21-44A477230624}" name="T_Peak[ms]" dataDxfId="40" totalsRowDxfId="17"/>
    <tableColumn id="7" xr3:uid="{24750961-E71B-41B9-912C-2C8397AA8536}" name="I-Peak-ist[A]" dataDxfId="39" totalsRowDxfId="16"/>
    <tableColumn id="8" xr3:uid="{003FF36C-D0E1-429A-AF01-C6DF34744662}" name="T-Fall[ms]" dataDxfId="38" totalsRowDxfId="15"/>
    <tableColumn id="9" xr3:uid="{500AFE6E-A301-47B0-AD5E-EC34B4E71F87}" name="T-Measured[ms]" dataDxfId="37" totalsRowDxfId="14"/>
    <tableColumn id="10" xr3:uid="{C77C34F8-8883-4362-94A2-F38BFCBA3314}" name="V-Feed[V]" dataDxfId="36" totalsRowDxfId="13"/>
    <tableColumn id="11" xr3:uid="{F147FD1A-9EF9-4DBC-A902-B2752A6332AC}" name="Ea_Thd[mV]" dataDxfId="35" totalsRowDxfId="12"/>
    <tableColumn id="16" xr3:uid="{46E527F0-ED5F-4C9B-B06F-9B78EDFC8B29}" name="I_Av[A]" dataDxfId="34" totalsRowDxfId="11">
      <calculatedColumnFormula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calculatedColumnFormula>
    </tableColumn>
    <tableColumn id="17" xr3:uid="{04A7892B-116B-4AE8-AB0A-2E0D86EE304C}" name="Ramp-Down Time[ms]" dataDxfId="33" totalsRowDxfId="10"/>
    <tableColumn id="20" xr3:uid="{D07EB0B8-F662-44CB-B593-9B053727DA7A}" name="I_Ramp-Down [A]" dataDxfId="32" totalsRowDxfId="9"/>
    <tableColumn id="21" xr3:uid="{706988B2-096D-41AA-82AA-96D67335C899}" name="I_Av  ist" dataDxfId="31" totalsRowDxfId="8"/>
    <tableColumn id="12" xr3:uid="{E28FDDF6-CBAE-4C7D-8C01-00035405D582}" name="Weld" dataDxfId="30" totalsRowDxfId="7"/>
    <tableColumn id="23" xr3:uid="{7F624F1D-7E07-4A28-9BDC-CB6A49FD61F1}" name="Test Result" dataDxfId="29" totalsRowDxfId="6"/>
    <tableColumn id="13" xr3:uid="{C7235337-1263-451A-A6BA-772BF19CF5E3}" name="Waveforms" dataDxfId="28" totalsRowDxfId="5"/>
    <tableColumn id="14" xr3:uid="{8711F200-9E4D-48D5-B346-E57CB6CC31FF}" name="To-Do" dataDxfId="27" totalsRowDxfId="4"/>
    <tableColumn id="15" xr3:uid="{08BA3176-0C2F-48D1-AADC-7CB582412F50}" name="Oscilloscope Files" dataDxfId="26" totalsRowDxfId="3"/>
    <tableColumn id="18" xr3:uid="{5AE73E07-72CC-4BCF-8ED0-4D2FBCDCBE05}" name="SW Version2" dataDxfId="25" totalsRowDxfId="2"/>
    <tableColumn id="19" xr3:uid="{A268DBB9-7E1E-4908-AC89-66069167F57A}" name="Axial Speed" dataDxfId="24" totalsRowDxfId="1"/>
    <tableColumn id="24" xr3:uid="{BFF81CF3-0DFA-454B-B7AE-7589DE046B80}" name="(I-Step)-[(Ivally)-(I-Ramp-DWN)/2]" dataDxfId="23" totalsRowDxfId="0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I_PWM_Set@%2010KHz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hyperlink" Target="System-Test-Files\Tes-112" TargetMode="External"/><Relationship Id="rId18" Type="http://schemas.openxmlformats.org/officeDocument/2006/relationships/hyperlink" Target="System-Test-Files\Test-119" TargetMode="External"/><Relationship Id="rId26" Type="http://schemas.openxmlformats.org/officeDocument/2006/relationships/hyperlink" Target="System-Test-Files\Test-128" TargetMode="External"/><Relationship Id="rId39" Type="http://schemas.openxmlformats.org/officeDocument/2006/relationships/hyperlink" Target="System-Test-Files\Test-141" TargetMode="External"/><Relationship Id="rId21" Type="http://schemas.openxmlformats.org/officeDocument/2006/relationships/hyperlink" Target="System-Test-Files\Test-122" TargetMode="External"/><Relationship Id="rId34" Type="http://schemas.openxmlformats.org/officeDocument/2006/relationships/hyperlink" Target="System-Test-Files\Test-136" TargetMode="External"/><Relationship Id="rId42" Type="http://schemas.openxmlformats.org/officeDocument/2006/relationships/hyperlink" Target="System-Test-Files\Test-145" TargetMode="External"/><Relationship Id="rId47" Type="http://schemas.openxmlformats.org/officeDocument/2006/relationships/hyperlink" Target="System-Test-Files\Test-149" TargetMode="External"/><Relationship Id="rId50" Type="http://schemas.openxmlformats.org/officeDocument/2006/relationships/printerSettings" Target="../printerSettings/printerSettings3.bin"/><Relationship Id="rId7" Type="http://schemas.openxmlformats.org/officeDocument/2006/relationships/hyperlink" Target="System-Test-Files\Test-106" TargetMode="External"/><Relationship Id="rId2" Type="http://schemas.openxmlformats.org/officeDocument/2006/relationships/hyperlink" Target="System-Test-Files\Test-101" TargetMode="External"/><Relationship Id="rId16" Type="http://schemas.openxmlformats.org/officeDocument/2006/relationships/hyperlink" Target="System-Test-Files\Test-117" TargetMode="External"/><Relationship Id="rId29" Type="http://schemas.openxmlformats.org/officeDocument/2006/relationships/hyperlink" Target="System-Test-Files\Test-131" TargetMode="External"/><Relationship Id="rId11" Type="http://schemas.openxmlformats.org/officeDocument/2006/relationships/hyperlink" Target="System-Test-Files\Test-110" TargetMode="External"/><Relationship Id="rId24" Type="http://schemas.openxmlformats.org/officeDocument/2006/relationships/hyperlink" Target="System-Test-Files\Test-125" TargetMode="External"/><Relationship Id="rId32" Type="http://schemas.openxmlformats.org/officeDocument/2006/relationships/hyperlink" Target="System-Test-Files\Test-134" TargetMode="External"/><Relationship Id="rId37" Type="http://schemas.openxmlformats.org/officeDocument/2006/relationships/hyperlink" Target="System-Test-Files\Test-139" TargetMode="External"/><Relationship Id="rId40" Type="http://schemas.openxmlformats.org/officeDocument/2006/relationships/hyperlink" Target="System-Test-Files\Test-142" TargetMode="External"/><Relationship Id="rId45" Type="http://schemas.openxmlformats.org/officeDocument/2006/relationships/hyperlink" Target="System-Test-Files\Test-147" TargetMode="External"/><Relationship Id="rId53" Type="http://schemas.openxmlformats.org/officeDocument/2006/relationships/table" Target="../tables/table1.xml"/><Relationship Id="rId5" Type="http://schemas.openxmlformats.org/officeDocument/2006/relationships/hyperlink" Target="System-Test-Files\Test-104" TargetMode="External"/><Relationship Id="rId10" Type="http://schemas.openxmlformats.org/officeDocument/2006/relationships/hyperlink" Target="System-Test-Files\Test-109" TargetMode="External"/><Relationship Id="rId19" Type="http://schemas.openxmlformats.org/officeDocument/2006/relationships/hyperlink" Target="System-Test-Files\Test-120" TargetMode="External"/><Relationship Id="rId31" Type="http://schemas.openxmlformats.org/officeDocument/2006/relationships/hyperlink" Target="System-Test-Files\Test-133" TargetMode="External"/><Relationship Id="rId44" Type="http://schemas.openxmlformats.org/officeDocument/2006/relationships/hyperlink" Target="System-Test-Files\Test-143" TargetMode="External"/><Relationship Id="rId52" Type="http://schemas.openxmlformats.org/officeDocument/2006/relationships/vmlDrawing" Target="../drawings/vmlDrawing1.vml"/><Relationship Id="rId4" Type="http://schemas.openxmlformats.org/officeDocument/2006/relationships/hyperlink" Target="System-Test-Files\Test-103" TargetMode="External"/><Relationship Id="rId9" Type="http://schemas.openxmlformats.org/officeDocument/2006/relationships/hyperlink" Target="System-Test-Files\Test-108" TargetMode="External"/><Relationship Id="rId14" Type="http://schemas.openxmlformats.org/officeDocument/2006/relationships/hyperlink" Target="System-Test-Files\Test-115" TargetMode="External"/><Relationship Id="rId22" Type="http://schemas.openxmlformats.org/officeDocument/2006/relationships/hyperlink" Target="System-Test-Files\Test-123" TargetMode="External"/><Relationship Id="rId27" Type="http://schemas.openxmlformats.org/officeDocument/2006/relationships/hyperlink" Target="System-Test-Files\Test-129" TargetMode="External"/><Relationship Id="rId30" Type="http://schemas.openxmlformats.org/officeDocument/2006/relationships/hyperlink" Target="System-Test-Files\Test-132" TargetMode="External"/><Relationship Id="rId35" Type="http://schemas.openxmlformats.org/officeDocument/2006/relationships/hyperlink" Target="System-Test-Files\Test-137" TargetMode="External"/><Relationship Id="rId43" Type="http://schemas.openxmlformats.org/officeDocument/2006/relationships/hyperlink" Target="System-Test-Files\Test-144" TargetMode="External"/><Relationship Id="rId48" Type="http://schemas.openxmlformats.org/officeDocument/2006/relationships/hyperlink" Target="System-Test-Files\Test-150" TargetMode="External"/><Relationship Id="rId8" Type="http://schemas.openxmlformats.org/officeDocument/2006/relationships/hyperlink" Target="System-Test-Files\Test-107" TargetMode="External"/><Relationship Id="rId51" Type="http://schemas.openxmlformats.org/officeDocument/2006/relationships/drawing" Target="../drawings/drawing3.xml"/><Relationship Id="rId3" Type="http://schemas.openxmlformats.org/officeDocument/2006/relationships/hyperlink" Target="System-Test-Files\Test-102" TargetMode="External"/><Relationship Id="rId12" Type="http://schemas.openxmlformats.org/officeDocument/2006/relationships/hyperlink" Target="System-Test-Files\Test-111" TargetMode="External"/><Relationship Id="rId17" Type="http://schemas.openxmlformats.org/officeDocument/2006/relationships/hyperlink" Target="System-Test-Files\Test-118" TargetMode="External"/><Relationship Id="rId25" Type="http://schemas.openxmlformats.org/officeDocument/2006/relationships/hyperlink" Target="System-Test-Files\Test-126" TargetMode="External"/><Relationship Id="rId33" Type="http://schemas.openxmlformats.org/officeDocument/2006/relationships/hyperlink" Target="System-Test-Files\Test-135" TargetMode="External"/><Relationship Id="rId38" Type="http://schemas.openxmlformats.org/officeDocument/2006/relationships/hyperlink" Target="System-Test-Files\Test-140" TargetMode="External"/><Relationship Id="rId46" Type="http://schemas.openxmlformats.org/officeDocument/2006/relationships/hyperlink" Target="System-Test-Files\Test-148" TargetMode="External"/><Relationship Id="rId20" Type="http://schemas.openxmlformats.org/officeDocument/2006/relationships/hyperlink" Target="System-Test-Files\Test-121" TargetMode="External"/><Relationship Id="rId41" Type="http://schemas.openxmlformats.org/officeDocument/2006/relationships/hyperlink" Target="System-Test-Files\Test-146" TargetMode="External"/><Relationship Id="rId54" Type="http://schemas.openxmlformats.org/officeDocument/2006/relationships/comments" Target="../comments1.xml"/><Relationship Id="rId1" Type="http://schemas.openxmlformats.org/officeDocument/2006/relationships/hyperlink" Target="System-Test-Files\Test-100" TargetMode="External"/><Relationship Id="rId6" Type="http://schemas.openxmlformats.org/officeDocument/2006/relationships/hyperlink" Target="System-Test-Files\Test-105" TargetMode="External"/><Relationship Id="rId15" Type="http://schemas.openxmlformats.org/officeDocument/2006/relationships/hyperlink" Target="System-Test-Files\Test-116" TargetMode="External"/><Relationship Id="rId23" Type="http://schemas.openxmlformats.org/officeDocument/2006/relationships/hyperlink" Target="System-Test-Files\Test-124" TargetMode="External"/><Relationship Id="rId28" Type="http://schemas.openxmlformats.org/officeDocument/2006/relationships/hyperlink" Target="System-Test-Files\Test-130" TargetMode="External"/><Relationship Id="rId36" Type="http://schemas.openxmlformats.org/officeDocument/2006/relationships/hyperlink" Target="System-Test-Files\Test-138" TargetMode="External"/><Relationship Id="rId49" Type="http://schemas.openxmlformats.org/officeDocument/2006/relationships/hyperlink" Target="System-Test-Files\Test-151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AB440"/>
  <sheetViews>
    <sheetView zoomScale="85" zoomScaleNormal="85" workbookViewId="0">
      <selection activeCell="L7" sqref="L7"/>
    </sheetView>
  </sheetViews>
  <sheetFormatPr defaultRowHeight="15" x14ac:dyDescent="0.25"/>
  <cols>
    <col min="2" max="2" width="11.140625" customWidth="1"/>
    <col min="3" max="3" width="18.140625" customWidth="1"/>
    <col min="4" max="4" width="20.5703125" customWidth="1"/>
    <col min="5" max="5" width="19.140625" customWidth="1"/>
    <col min="6" max="6" width="33.5703125" bestFit="1" customWidth="1"/>
    <col min="7" max="7" width="26.28515625" customWidth="1"/>
    <col min="8" max="8" width="30.140625" customWidth="1"/>
    <col min="9" max="9" width="20.85546875" customWidth="1"/>
    <col min="10" max="10" width="28.5703125" customWidth="1"/>
    <col min="11" max="11" width="22.140625" customWidth="1"/>
    <col min="12" max="12" width="21.140625" customWidth="1"/>
    <col min="13" max="13" width="18.7109375" customWidth="1"/>
    <col min="14" max="14" width="23.42578125" customWidth="1"/>
    <col min="15" max="15" width="31.7109375" customWidth="1"/>
    <col min="16" max="16" width="30.7109375" bestFit="1" customWidth="1"/>
    <col min="17" max="17" width="18.140625" bestFit="1" customWidth="1"/>
    <col min="18" max="18" width="13.28515625" customWidth="1"/>
    <col min="19" max="19" width="14.85546875" bestFit="1" customWidth="1"/>
    <col min="21" max="21" width="19" bestFit="1" customWidth="1"/>
    <col min="22" max="22" width="10.28515625" bestFit="1" customWidth="1"/>
    <col min="23" max="23" width="64" bestFit="1" customWidth="1"/>
    <col min="24" max="24" width="45.7109375" customWidth="1"/>
  </cols>
  <sheetData>
    <row r="2" spans="2:18" x14ac:dyDescent="0.25">
      <c r="D2" s="15"/>
      <c r="E2" s="15"/>
      <c r="G2" s="10"/>
      <c r="H2" s="16"/>
    </row>
    <row r="3" spans="2:18" x14ac:dyDescent="0.25">
      <c r="C3" s="23" t="s">
        <v>18</v>
      </c>
      <c r="D3" s="26">
        <v>0</v>
      </c>
      <c r="E3" s="15"/>
      <c r="G3" s="10"/>
      <c r="H3" s="16"/>
    </row>
    <row r="4" spans="2:18" x14ac:dyDescent="0.25">
      <c r="C4" s="23" t="s">
        <v>14</v>
      </c>
      <c r="D4" s="24">
        <v>0.125</v>
      </c>
      <c r="E4" s="15"/>
      <c r="G4" s="10"/>
      <c r="H4" s="16"/>
    </row>
    <row r="5" spans="2:18" x14ac:dyDescent="0.25">
      <c r="C5" s="23" t="s">
        <v>16</v>
      </c>
      <c r="D5" s="23">
        <v>0.25</v>
      </c>
    </row>
    <row r="6" spans="2:18" x14ac:dyDescent="0.25">
      <c r="C6" s="17" t="s">
        <v>19</v>
      </c>
      <c r="D6" s="18">
        <f>D4+D5</f>
        <v>0.375</v>
      </c>
      <c r="E6" s="25" t="s">
        <v>17</v>
      </c>
      <c r="F6" s="19">
        <f>320*(1/6)/D6</f>
        <v>142.2222222222222</v>
      </c>
      <c r="G6" s="17" t="s">
        <v>3</v>
      </c>
      <c r="H6" s="20" t="s">
        <v>12</v>
      </c>
      <c r="I6" s="21">
        <f>F6^2*D6</f>
        <v>7585.1851851851834</v>
      </c>
      <c r="J6" s="20" t="s">
        <v>13</v>
      </c>
    </row>
    <row r="7" spans="2:18" ht="15.75" thickBot="1" x14ac:dyDescent="0.3">
      <c r="C7" s="22"/>
      <c r="D7" s="22"/>
      <c r="E7" s="20" t="s">
        <v>9</v>
      </c>
      <c r="F7" s="21">
        <f>F6/6</f>
        <v>23.703703703703699</v>
      </c>
      <c r="G7" s="20" t="s">
        <v>3</v>
      </c>
      <c r="H7" s="17" t="s">
        <v>10</v>
      </c>
      <c r="I7" s="17" t="s">
        <v>11</v>
      </c>
      <c r="J7" s="22"/>
    </row>
    <row r="8" spans="2:18" ht="16.5" thickTop="1" thickBot="1" x14ac:dyDescent="0.3">
      <c r="R8" s="30"/>
    </row>
    <row r="9" spans="2:18" ht="15.75" thickTop="1" x14ac:dyDescent="0.25">
      <c r="B9" s="14"/>
      <c r="C9" s="14" t="s">
        <v>15</v>
      </c>
      <c r="D9" s="14" t="s">
        <v>20</v>
      </c>
      <c r="E9" s="14" t="s">
        <v>76</v>
      </c>
      <c r="F9" s="14" t="s">
        <v>77</v>
      </c>
      <c r="G9" s="40" t="s">
        <v>78</v>
      </c>
      <c r="H9" s="40" t="s">
        <v>81</v>
      </c>
      <c r="I9" s="40" t="s">
        <v>79</v>
      </c>
      <c r="J9" s="43" t="s">
        <v>80</v>
      </c>
      <c r="K9" s="45" t="s">
        <v>105</v>
      </c>
    </row>
    <row r="10" spans="2:18" hidden="1" x14ac:dyDescent="0.25">
      <c r="B10" s="2"/>
      <c r="C10" s="5">
        <v>20</v>
      </c>
      <c r="D10" s="2">
        <v>1.3</v>
      </c>
      <c r="E10" s="2">
        <v>320</v>
      </c>
      <c r="F10" s="3">
        <f>E10/6</f>
        <v>53.333333333333336</v>
      </c>
      <c r="G10" s="3">
        <f>F10/D10</f>
        <v>41.025641025641029</v>
      </c>
      <c r="H10" s="2">
        <f>C10/G10*100</f>
        <v>48.749999999999993</v>
      </c>
      <c r="I10" s="27">
        <v>2</v>
      </c>
      <c r="J10" s="44">
        <f>0.8+H10/100*I10</f>
        <v>1.7749999999999999</v>
      </c>
      <c r="K10" s="2"/>
    </row>
    <row r="11" spans="2:18" hidden="1" x14ac:dyDescent="0.25">
      <c r="B11" s="2"/>
      <c r="C11" s="5">
        <v>30</v>
      </c>
      <c r="D11" s="2">
        <f>2.2*1.2/3.4</f>
        <v>0.77647058823529413</v>
      </c>
      <c r="E11" s="2">
        <v>320</v>
      </c>
      <c r="F11" s="3">
        <f>E11/6</f>
        <v>53.333333333333336</v>
      </c>
      <c r="G11" s="3">
        <f>F11/D11</f>
        <v>68.686868686868692</v>
      </c>
      <c r="H11" s="2">
        <f>C11/G11*100</f>
        <v>43.67647058823529</v>
      </c>
      <c r="I11" s="27">
        <v>2</v>
      </c>
      <c r="J11" s="44">
        <f>0.8+H11/100*I11</f>
        <v>1.6735294117647057</v>
      </c>
      <c r="K11" s="2"/>
    </row>
    <row r="12" spans="2:18" hidden="1" x14ac:dyDescent="0.25">
      <c r="B12" s="2"/>
      <c r="C12" s="2">
        <v>25</v>
      </c>
      <c r="D12" s="2">
        <f>0.7764</f>
        <v>0.77639999999999998</v>
      </c>
      <c r="E12" s="2">
        <v>320</v>
      </c>
      <c r="F12" s="3">
        <f>E12/6</f>
        <v>53.333333333333336</v>
      </c>
      <c r="G12" s="3">
        <f>F12/D12</f>
        <v>68.693113515370086</v>
      </c>
      <c r="H12" s="2">
        <f>C12/G12*100</f>
        <v>36.393749999999997</v>
      </c>
      <c r="I12" s="27">
        <v>2</v>
      </c>
      <c r="J12" s="44">
        <f>0.8+H12/100*I12</f>
        <v>1.5278749999999999</v>
      </c>
      <c r="K12" s="2"/>
    </row>
    <row r="13" spans="2:18" x14ac:dyDescent="0.25">
      <c r="B13" s="2"/>
      <c r="C13" s="2">
        <v>30</v>
      </c>
      <c r="D13" s="2">
        <f>0.25+0.1</f>
        <v>0.35</v>
      </c>
      <c r="E13" s="2">
        <v>320</v>
      </c>
      <c r="F13" s="3">
        <f>E13/6</f>
        <v>53.333333333333336</v>
      </c>
      <c r="G13" s="3">
        <f>F13/D13</f>
        <v>152.38095238095241</v>
      </c>
      <c r="H13" s="2">
        <f>C13/G13*100</f>
        <v>19.687499999999996</v>
      </c>
      <c r="I13" s="27">
        <v>2</v>
      </c>
      <c r="J13" s="44">
        <f>0.8+H13/100*I13</f>
        <v>1.1937500000000001</v>
      </c>
      <c r="K13" s="2"/>
    </row>
    <row r="14" spans="2:18" x14ac:dyDescent="0.25">
      <c r="B14" s="2"/>
      <c r="C14" s="2"/>
      <c r="D14" s="2"/>
      <c r="E14" s="2"/>
      <c r="F14" s="3"/>
      <c r="G14" s="3"/>
      <c r="H14" s="2"/>
      <c r="I14" s="27">
        <v>2</v>
      </c>
      <c r="J14" s="44"/>
      <c r="K14" s="2"/>
    </row>
    <row r="15" spans="2:18" x14ac:dyDescent="0.25">
      <c r="B15" s="2"/>
      <c r="C15" s="5"/>
      <c r="D15" s="2"/>
      <c r="E15" s="2"/>
      <c r="F15" s="3"/>
      <c r="G15" s="3"/>
      <c r="H15" s="2"/>
      <c r="I15" s="27">
        <v>2</v>
      </c>
      <c r="J15" s="44"/>
      <c r="K15" s="2"/>
    </row>
    <row r="16" spans="2:18" x14ac:dyDescent="0.25">
      <c r="B16" s="2"/>
      <c r="C16" s="2"/>
      <c r="D16" s="2"/>
      <c r="E16" s="2"/>
      <c r="F16" s="3"/>
      <c r="G16" s="3"/>
      <c r="H16" s="2"/>
      <c r="I16" s="27">
        <v>2</v>
      </c>
      <c r="J16" s="44"/>
      <c r="K16" s="2"/>
    </row>
    <row r="17" spans="2:18" x14ac:dyDescent="0.25">
      <c r="B17" s="2"/>
      <c r="C17" s="2"/>
      <c r="D17" s="2"/>
      <c r="E17" s="2"/>
      <c r="F17" s="3"/>
      <c r="G17" s="2"/>
      <c r="H17" s="2"/>
      <c r="I17" s="27"/>
      <c r="J17" s="44"/>
      <c r="K17" s="2"/>
    </row>
    <row r="18" spans="2:18" x14ac:dyDescent="0.25">
      <c r="B18" s="2"/>
      <c r="C18" s="5"/>
      <c r="D18" s="2"/>
      <c r="E18" s="2"/>
      <c r="F18" s="3"/>
      <c r="G18" s="3"/>
      <c r="H18" s="2"/>
      <c r="I18" s="27"/>
      <c r="J18" s="44"/>
      <c r="K18" s="2"/>
      <c r="M18">
        <v>0.375</v>
      </c>
      <c r="N18">
        <v>137</v>
      </c>
    </row>
    <row r="19" spans="2:18" x14ac:dyDescent="0.25">
      <c r="B19" s="2"/>
      <c r="C19" s="5"/>
      <c r="D19" s="2"/>
      <c r="E19" s="2"/>
      <c r="F19" s="3"/>
      <c r="G19" s="3"/>
      <c r="H19" s="2"/>
      <c r="I19" s="27"/>
      <c r="J19" s="44"/>
      <c r="K19" s="2"/>
      <c r="M19">
        <f>N19*M18/N18</f>
        <v>0.20802919708029197</v>
      </c>
      <c r="N19">
        <v>76</v>
      </c>
    </row>
    <row r="20" spans="2:18" x14ac:dyDescent="0.25">
      <c r="B20" s="2"/>
      <c r="C20" s="2"/>
      <c r="D20" s="2"/>
      <c r="E20" s="2"/>
      <c r="F20" s="2"/>
      <c r="G20" s="2"/>
      <c r="H20" s="2"/>
      <c r="I20" s="27"/>
      <c r="J20" s="44"/>
      <c r="K20" s="2"/>
    </row>
    <row r="21" spans="2:18" x14ac:dyDescent="0.25">
      <c r="B21" s="2"/>
      <c r="C21" s="2"/>
      <c r="D21" s="2"/>
      <c r="E21" s="2"/>
      <c r="F21" s="2"/>
      <c r="G21" s="2"/>
      <c r="H21" s="2"/>
      <c r="I21" s="2"/>
      <c r="J21" s="44"/>
      <c r="K21" s="2"/>
    </row>
    <row r="22" spans="2:18" x14ac:dyDescent="0.25">
      <c r="B22" s="2"/>
      <c r="C22" s="2"/>
      <c r="D22" s="2"/>
      <c r="E22" s="2"/>
      <c r="F22" s="2"/>
      <c r="G22" s="2"/>
      <c r="H22" s="2"/>
      <c r="I22" s="2"/>
      <c r="J22" s="44"/>
      <c r="K22" s="2"/>
      <c r="M22">
        <f>322*1/6/76</f>
        <v>0.70614035087719296</v>
      </c>
      <c r="N22">
        <f>M22-0.25</f>
        <v>0.45614035087719296</v>
      </c>
    </row>
    <row r="23" spans="2:18" x14ac:dyDescent="0.25">
      <c r="B23" s="2"/>
      <c r="C23" s="2"/>
      <c r="D23" s="2"/>
      <c r="E23" s="2"/>
      <c r="F23" s="2"/>
      <c r="G23" s="2"/>
      <c r="H23" s="2"/>
      <c r="I23" s="2"/>
      <c r="J23" s="44"/>
      <c r="K23" s="2"/>
    </row>
    <row r="24" spans="2:18" x14ac:dyDescent="0.25">
      <c r="B24" s="2"/>
      <c r="C24" s="2"/>
      <c r="D24" s="2"/>
      <c r="E24" s="2"/>
      <c r="F24" s="2"/>
      <c r="G24" s="2"/>
      <c r="H24" s="2"/>
      <c r="I24" s="2"/>
      <c r="J24" s="44"/>
      <c r="K24" s="2"/>
    </row>
    <row r="25" spans="2:18" ht="15.75" thickBot="1" x14ac:dyDescent="0.3">
      <c r="B25" s="2"/>
      <c r="C25" s="2"/>
      <c r="D25" s="2"/>
      <c r="E25" s="2"/>
      <c r="F25" s="2"/>
      <c r="G25" s="2"/>
      <c r="H25" s="2"/>
      <c r="I25" s="2"/>
      <c r="J25" s="44"/>
      <c r="K25" s="2"/>
    </row>
    <row r="26" spans="2:18" ht="16.5" thickTop="1" thickBot="1" x14ac:dyDescent="0.3">
      <c r="B26" s="2"/>
      <c r="C26" s="2"/>
      <c r="D26" s="2"/>
      <c r="E26" s="2"/>
      <c r="F26" s="2"/>
      <c r="G26" s="2"/>
      <c r="H26" s="2"/>
      <c r="I26" s="2"/>
      <c r="J26" s="44"/>
      <c r="K26" s="2"/>
      <c r="R26" s="30"/>
    </row>
    <row r="27" spans="2:18" ht="15.75" thickTop="1" x14ac:dyDescent="0.25">
      <c r="B27" s="2"/>
      <c r="C27" s="2"/>
      <c r="D27" s="2"/>
      <c r="E27" s="2"/>
      <c r="F27" s="2"/>
      <c r="G27" s="2"/>
      <c r="H27" s="2"/>
      <c r="I27" s="2"/>
      <c r="J27" s="44"/>
      <c r="K27" s="2"/>
    </row>
    <row r="28" spans="2:18" x14ac:dyDescent="0.25">
      <c r="B28" s="2"/>
      <c r="C28" s="2"/>
      <c r="D28" s="2"/>
      <c r="E28" s="2"/>
      <c r="F28" s="2"/>
      <c r="G28" s="2"/>
      <c r="H28" s="2"/>
      <c r="I28" s="2"/>
      <c r="J28" s="44"/>
      <c r="K28" s="2"/>
    </row>
    <row r="29" spans="2:18" x14ac:dyDescent="0.25">
      <c r="B29" s="2"/>
      <c r="C29" s="2"/>
      <c r="D29" s="2"/>
      <c r="E29" s="2"/>
      <c r="F29" s="2"/>
      <c r="G29" s="2"/>
      <c r="H29" s="2"/>
      <c r="I29" s="2"/>
      <c r="J29" s="44"/>
      <c r="K29" s="2"/>
    </row>
    <row r="30" spans="2:18" x14ac:dyDescent="0.25">
      <c r="B30" s="2"/>
      <c r="C30" s="2"/>
      <c r="D30" s="2"/>
      <c r="E30" s="2"/>
      <c r="F30" s="2"/>
      <c r="G30" s="2"/>
      <c r="H30" s="2"/>
      <c r="I30" s="2"/>
      <c r="J30" s="44"/>
      <c r="K30" s="2"/>
    </row>
    <row r="31" spans="2:18" x14ac:dyDescent="0.25">
      <c r="B31" s="2"/>
      <c r="C31" s="2"/>
      <c r="D31" s="2"/>
      <c r="E31" s="2"/>
      <c r="F31" s="2"/>
      <c r="G31" s="2"/>
      <c r="H31" s="2"/>
      <c r="I31" s="2"/>
      <c r="J31" s="44"/>
      <c r="K31" s="2"/>
    </row>
    <row r="32" spans="2:18" x14ac:dyDescent="0.25">
      <c r="B32" s="2"/>
      <c r="C32" s="2"/>
      <c r="D32" s="2"/>
      <c r="E32" s="2"/>
      <c r="F32" s="2"/>
      <c r="G32" s="2"/>
      <c r="H32" s="2"/>
      <c r="I32" s="2"/>
      <c r="J32" s="44"/>
      <c r="K32" s="2"/>
    </row>
    <row r="33" spans="2:18" x14ac:dyDescent="0.25">
      <c r="B33" s="2"/>
      <c r="C33" s="2"/>
      <c r="D33" s="2"/>
      <c r="E33" s="2"/>
      <c r="F33" s="2"/>
      <c r="G33" s="2"/>
      <c r="H33" s="2"/>
      <c r="I33" s="2"/>
      <c r="J33" s="44"/>
      <c r="K33" s="2"/>
    </row>
    <row r="34" spans="2:18" x14ac:dyDescent="0.25">
      <c r="B34" s="2"/>
      <c r="C34" s="2"/>
      <c r="D34" s="2"/>
      <c r="E34" s="2"/>
      <c r="F34" s="2"/>
      <c r="G34" s="2"/>
      <c r="H34" s="2"/>
      <c r="I34" s="2"/>
      <c r="J34" s="44"/>
      <c r="K34" s="2"/>
    </row>
    <row r="35" spans="2:18" x14ac:dyDescent="0.25">
      <c r="B35" s="2"/>
      <c r="C35" s="2"/>
      <c r="D35" s="2"/>
      <c r="E35" s="2"/>
      <c r="F35" s="2"/>
      <c r="G35" s="2"/>
      <c r="H35" s="2"/>
      <c r="I35" s="2"/>
      <c r="J35" s="44"/>
      <c r="K35" s="2"/>
    </row>
    <row r="36" spans="2:18" x14ac:dyDescent="0.25">
      <c r="B36" s="2"/>
      <c r="C36" s="2"/>
      <c r="D36" s="2"/>
      <c r="E36" s="2"/>
      <c r="F36" s="2"/>
      <c r="G36" s="2"/>
      <c r="H36" s="2"/>
      <c r="I36" s="2"/>
      <c r="J36" s="44"/>
      <c r="K36" s="2"/>
    </row>
    <row r="37" spans="2:18" x14ac:dyDescent="0.25">
      <c r="B37" s="2"/>
      <c r="C37" s="2"/>
      <c r="D37" s="2"/>
      <c r="E37" s="2"/>
      <c r="F37" s="2"/>
      <c r="G37" s="2"/>
      <c r="H37" s="2"/>
      <c r="I37" s="2"/>
      <c r="J37" s="44"/>
      <c r="K37" s="2"/>
    </row>
    <row r="38" spans="2:18" x14ac:dyDescent="0.25">
      <c r="B38" s="2"/>
      <c r="C38" s="2"/>
      <c r="D38" s="2"/>
      <c r="E38" s="2"/>
      <c r="F38" s="2"/>
      <c r="G38" s="2"/>
      <c r="H38" s="2"/>
      <c r="I38" s="2"/>
      <c r="J38" s="44"/>
      <c r="K38" s="2"/>
    </row>
    <row r="39" spans="2:18" x14ac:dyDescent="0.25">
      <c r="B39" s="2"/>
      <c r="C39" s="2"/>
      <c r="D39" s="2"/>
      <c r="E39" s="2"/>
      <c r="F39" s="2"/>
      <c r="G39" s="2"/>
      <c r="H39" s="2"/>
      <c r="I39" s="2"/>
      <c r="J39" s="44"/>
      <c r="K39" s="2"/>
    </row>
    <row r="40" spans="2:18" x14ac:dyDescent="0.25">
      <c r="B40" s="2"/>
      <c r="C40" s="2"/>
      <c r="D40" s="2"/>
      <c r="E40" s="2"/>
      <c r="F40" s="2"/>
      <c r="G40" s="2"/>
      <c r="H40" s="2"/>
      <c r="I40" s="2"/>
      <c r="J40" s="44"/>
      <c r="K40" s="2"/>
    </row>
    <row r="41" spans="2:18" x14ac:dyDescent="0.25">
      <c r="B41" s="2"/>
      <c r="C41" s="2"/>
      <c r="D41" s="2"/>
      <c r="E41" s="2"/>
      <c r="F41" s="2"/>
      <c r="G41" s="2"/>
      <c r="H41" s="2"/>
      <c r="I41" s="2"/>
      <c r="J41" s="44"/>
      <c r="K41" s="2"/>
    </row>
    <row r="42" spans="2:18" x14ac:dyDescent="0.25">
      <c r="B42" s="2"/>
      <c r="C42" s="2"/>
      <c r="D42" s="2"/>
      <c r="E42" s="2"/>
      <c r="F42" s="2"/>
      <c r="G42" s="2"/>
      <c r="H42" s="2"/>
      <c r="I42" s="2"/>
      <c r="J42" s="44"/>
      <c r="K42" s="2"/>
    </row>
    <row r="43" spans="2:18" ht="15.75" thickBot="1" x14ac:dyDescent="0.3">
      <c r="B43" s="2"/>
      <c r="C43" s="2"/>
      <c r="D43" s="2"/>
      <c r="E43" s="2"/>
      <c r="F43" s="2"/>
      <c r="G43" s="2"/>
      <c r="H43" s="2"/>
      <c r="I43" s="2"/>
      <c r="J43" s="44"/>
      <c r="K43" s="2"/>
    </row>
    <row r="44" spans="2:18" ht="16.5" thickTop="1" thickBot="1" x14ac:dyDescent="0.3">
      <c r="R44" s="30"/>
    </row>
    <row r="45" spans="2:18" ht="15.75" thickTop="1" x14ac:dyDescent="0.25"/>
    <row r="47" spans="2:18" x14ac:dyDescent="0.25">
      <c r="P47" s="31"/>
    </row>
    <row r="54" spans="6:12" x14ac:dyDescent="0.25">
      <c r="F54" s="6" t="s">
        <v>4</v>
      </c>
      <c r="G54" s="6" t="s">
        <v>5</v>
      </c>
      <c r="H54" s="6" t="s">
        <v>45</v>
      </c>
      <c r="I54" s="6" t="s">
        <v>6</v>
      </c>
      <c r="J54" s="6" t="s">
        <v>7</v>
      </c>
      <c r="K54" s="6" t="s">
        <v>46</v>
      </c>
      <c r="L54" s="6" t="s">
        <v>47</v>
      </c>
    </row>
    <row r="55" spans="6:12" x14ac:dyDescent="0.25">
      <c r="F55" s="7"/>
      <c r="G55" s="8"/>
      <c r="H55" s="9"/>
      <c r="I55" s="11"/>
      <c r="J55" s="8"/>
      <c r="K55" s="13"/>
      <c r="L55" s="13"/>
    </row>
    <row r="56" spans="6:12" x14ac:dyDescent="0.25">
      <c r="F56" s="7"/>
      <c r="G56" s="8"/>
      <c r="H56" s="12"/>
      <c r="I56" s="11"/>
      <c r="J56" s="8"/>
      <c r="K56" s="13"/>
      <c r="L56" s="13"/>
    </row>
    <row r="57" spans="6:12" x14ac:dyDescent="0.25">
      <c r="F57" s="7"/>
      <c r="G57" s="8"/>
      <c r="H57" s="12"/>
      <c r="I57" s="11"/>
      <c r="J57" s="8"/>
      <c r="K57" s="13"/>
      <c r="L57" s="13"/>
    </row>
    <row r="58" spans="6:12" x14ac:dyDescent="0.25">
      <c r="F58" s="7"/>
      <c r="G58" s="8"/>
      <c r="H58" s="12"/>
      <c r="I58" s="11"/>
      <c r="J58" s="8"/>
      <c r="K58" s="13"/>
      <c r="L58" s="13"/>
    </row>
    <row r="59" spans="6:12" x14ac:dyDescent="0.25">
      <c r="F59" s="7"/>
      <c r="G59" s="8"/>
      <c r="H59" s="12"/>
      <c r="I59" s="11"/>
      <c r="J59" s="8"/>
      <c r="K59" s="13"/>
      <c r="L59" s="13"/>
    </row>
    <row r="60" spans="6:12" x14ac:dyDescent="0.25">
      <c r="F60" s="7"/>
      <c r="G60" s="8"/>
      <c r="H60" s="12"/>
      <c r="I60" s="11"/>
      <c r="J60" s="8"/>
      <c r="K60" s="13"/>
      <c r="L60" s="13"/>
    </row>
    <row r="61" spans="6:12" x14ac:dyDescent="0.25">
      <c r="F61" s="7"/>
      <c r="G61" s="8"/>
      <c r="H61" s="12"/>
      <c r="I61" s="11"/>
      <c r="J61" s="8"/>
      <c r="K61" s="13"/>
      <c r="L61" s="13"/>
    </row>
    <row r="62" spans="6:12" x14ac:dyDescent="0.25">
      <c r="F62" s="7"/>
      <c r="G62" s="8"/>
      <c r="H62" s="12"/>
      <c r="I62" s="11"/>
      <c r="J62" s="8"/>
      <c r="K62" s="13"/>
      <c r="L62" s="13"/>
    </row>
    <row r="63" spans="6:12" x14ac:dyDescent="0.25">
      <c r="F63" s="7"/>
      <c r="G63" s="8"/>
      <c r="H63" s="12"/>
      <c r="I63" s="11"/>
      <c r="J63" s="8"/>
      <c r="K63" s="13"/>
      <c r="L63" s="13"/>
    </row>
    <row r="64" spans="6:12" x14ac:dyDescent="0.25">
      <c r="F64" s="7"/>
      <c r="G64" s="8"/>
      <c r="H64" s="12"/>
      <c r="I64" s="11"/>
      <c r="J64" s="8"/>
      <c r="K64" s="13"/>
      <c r="L64" s="13"/>
    </row>
    <row r="65" spans="6:12" x14ac:dyDescent="0.25">
      <c r="F65" s="7"/>
      <c r="G65" s="8"/>
      <c r="H65" s="12"/>
      <c r="I65" s="11"/>
      <c r="J65" s="8"/>
      <c r="K65" s="13"/>
      <c r="L65" s="13"/>
    </row>
    <row r="66" spans="6:12" x14ac:dyDescent="0.25">
      <c r="F66" s="7"/>
      <c r="G66" s="8"/>
      <c r="H66" s="12"/>
      <c r="I66" s="11"/>
      <c r="J66" s="8"/>
      <c r="K66" s="13"/>
      <c r="L66" s="13"/>
    </row>
    <row r="67" spans="6:12" x14ac:dyDescent="0.25">
      <c r="F67" s="7"/>
      <c r="G67" s="8"/>
      <c r="H67" s="12"/>
      <c r="I67" s="11"/>
      <c r="J67" s="8"/>
      <c r="K67" s="13"/>
      <c r="L67" s="13"/>
    </row>
    <row r="68" spans="6:12" x14ac:dyDescent="0.25">
      <c r="F68" s="7"/>
      <c r="G68" s="8"/>
      <c r="H68" s="12"/>
      <c r="I68" s="11"/>
      <c r="J68" s="8"/>
      <c r="K68" s="13"/>
      <c r="L68" s="13"/>
    </row>
    <row r="69" spans="6:12" x14ac:dyDescent="0.25">
      <c r="F69" s="7"/>
      <c r="G69" s="8"/>
      <c r="H69" s="12"/>
      <c r="I69" s="11"/>
      <c r="J69" s="8"/>
      <c r="K69" s="13"/>
      <c r="L69" s="13"/>
    </row>
    <row r="70" spans="6:12" x14ac:dyDescent="0.25">
      <c r="F70" s="7"/>
      <c r="G70" s="8"/>
      <c r="H70" s="12"/>
      <c r="I70" s="11"/>
      <c r="J70" s="8"/>
      <c r="K70" s="13"/>
      <c r="L70" s="13"/>
    </row>
    <row r="71" spans="6:12" x14ac:dyDescent="0.25">
      <c r="F71" s="7"/>
      <c r="G71" s="8"/>
      <c r="H71" s="12"/>
      <c r="I71" s="11"/>
      <c r="J71" s="8"/>
      <c r="K71" s="13"/>
      <c r="L71" s="13"/>
    </row>
    <row r="72" spans="6:12" x14ac:dyDescent="0.25">
      <c r="F72" s="7"/>
      <c r="G72" s="8"/>
      <c r="H72" s="12"/>
      <c r="I72" s="11"/>
      <c r="J72" s="8"/>
      <c r="K72" s="13"/>
      <c r="L72" s="13"/>
    </row>
    <row r="73" spans="6:12" x14ac:dyDescent="0.25">
      <c r="F73" s="7"/>
      <c r="G73" s="8"/>
      <c r="H73" s="12"/>
      <c r="I73" s="11"/>
      <c r="J73" s="8"/>
      <c r="K73" s="13"/>
      <c r="L73" s="13"/>
    </row>
    <row r="74" spans="6:12" x14ac:dyDescent="0.25">
      <c r="F74" s="7"/>
      <c r="G74" s="8"/>
      <c r="H74" s="12"/>
      <c r="I74" s="11"/>
      <c r="J74" s="8"/>
      <c r="K74" s="13"/>
      <c r="L74" s="13"/>
    </row>
    <row r="75" spans="6:12" x14ac:dyDescent="0.25">
      <c r="F75" s="7"/>
      <c r="G75" s="8"/>
      <c r="H75" s="12"/>
      <c r="I75" s="11"/>
      <c r="J75" s="8"/>
      <c r="K75" s="13"/>
      <c r="L75" s="13"/>
    </row>
    <row r="76" spans="6:12" x14ac:dyDescent="0.25">
      <c r="F76" s="7"/>
      <c r="G76" s="8"/>
      <c r="H76" s="12"/>
      <c r="I76" s="11"/>
      <c r="J76" s="8"/>
      <c r="K76" s="13"/>
      <c r="L76" s="13"/>
    </row>
    <row r="77" spans="6:12" x14ac:dyDescent="0.25">
      <c r="F77" s="7"/>
      <c r="G77" s="8"/>
      <c r="H77" s="12"/>
      <c r="I77" s="11"/>
      <c r="J77" s="8"/>
      <c r="K77" s="13"/>
      <c r="L77" s="13"/>
    </row>
    <row r="78" spans="6:12" x14ac:dyDescent="0.25">
      <c r="F78" s="7"/>
      <c r="G78" s="8"/>
      <c r="H78" s="12"/>
      <c r="I78" s="11"/>
      <c r="J78" s="8"/>
      <c r="K78" s="13"/>
      <c r="L78" s="13"/>
    </row>
    <row r="79" spans="6:12" x14ac:dyDescent="0.25">
      <c r="F79" s="7"/>
      <c r="G79" s="8"/>
      <c r="H79" s="12"/>
      <c r="I79" s="11"/>
      <c r="J79" s="8"/>
      <c r="K79" s="13"/>
      <c r="L79" s="13"/>
    </row>
    <row r="80" spans="6:12" x14ac:dyDescent="0.25">
      <c r="F80" s="7"/>
      <c r="G80" s="8"/>
      <c r="H80" s="12"/>
      <c r="I80" s="11"/>
      <c r="J80" s="8"/>
      <c r="K80" s="13"/>
      <c r="L80" s="13"/>
    </row>
    <row r="81" spans="6:18" x14ac:dyDescent="0.25">
      <c r="F81" s="7"/>
      <c r="G81" s="8"/>
      <c r="H81" s="12"/>
      <c r="I81" s="11"/>
      <c r="J81" s="8"/>
      <c r="K81" s="13"/>
      <c r="L81" s="13"/>
    </row>
    <row r="82" spans="6:18" x14ac:dyDescent="0.25">
      <c r="F82" s="7"/>
      <c r="G82" s="8"/>
      <c r="H82" s="12"/>
      <c r="I82" s="11"/>
      <c r="J82" s="8"/>
      <c r="K82" s="13"/>
      <c r="L82" s="13"/>
    </row>
    <row r="83" spans="6:18" x14ac:dyDescent="0.25">
      <c r="F83" s="7"/>
      <c r="G83" s="8"/>
      <c r="H83" s="12"/>
      <c r="I83" s="11"/>
      <c r="J83" s="8"/>
      <c r="K83" s="13"/>
      <c r="L83" s="13"/>
    </row>
    <row r="84" spans="6:18" x14ac:dyDescent="0.25">
      <c r="F84" s="7"/>
      <c r="G84" s="8"/>
      <c r="H84" s="12"/>
      <c r="I84" s="11"/>
      <c r="J84" s="8"/>
      <c r="K84" s="13"/>
      <c r="L84" s="13"/>
    </row>
    <row r="85" spans="6:18" ht="15.75" thickBot="1" x14ac:dyDescent="0.3">
      <c r="F85" s="7"/>
      <c r="G85" s="8"/>
      <c r="H85" s="12"/>
      <c r="I85" s="11"/>
      <c r="J85" s="8"/>
      <c r="K85" s="13"/>
      <c r="L85" s="13"/>
    </row>
    <row r="86" spans="6:18" ht="16.5" thickTop="1" thickBot="1" x14ac:dyDescent="0.3">
      <c r="F86" s="7"/>
      <c r="G86" s="8"/>
      <c r="H86" s="12"/>
      <c r="I86" s="11"/>
      <c r="J86" s="8"/>
      <c r="K86" s="13"/>
      <c r="L86" s="13"/>
      <c r="R86" s="30"/>
    </row>
    <row r="87" spans="6:18" ht="15.75" thickTop="1" x14ac:dyDescent="0.25">
      <c r="F87" s="7"/>
      <c r="G87" s="8"/>
      <c r="H87" s="12"/>
      <c r="I87" s="11"/>
      <c r="J87" s="8"/>
      <c r="K87" s="13"/>
      <c r="L87" s="13"/>
    </row>
    <row r="88" spans="6:18" x14ac:dyDescent="0.25">
      <c r="F88" s="7"/>
      <c r="G88" s="8"/>
      <c r="H88" s="12"/>
      <c r="I88" s="11"/>
      <c r="J88" s="8"/>
      <c r="K88" s="13"/>
      <c r="L88" s="13"/>
    </row>
    <row r="89" spans="6:18" x14ac:dyDescent="0.25">
      <c r="F89" s="7"/>
      <c r="G89" s="8"/>
      <c r="H89" s="12"/>
      <c r="I89" s="11"/>
      <c r="J89" s="8"/>
      <c r="K89" s="13"/>
      <c r="L89" s="13"/>
    </row>
    <row r="90" spans="6:18" x14ac:dyDescent="0.25">
      <c r="F90" s="7"/>
      <c r="G90" s="8"/>
      <c r="H90" s="12"/>
      <c r="I90" s="11"/>
      <c r="J90" s="8"/>
      <c r="K90" s="13"/>
      <c r="L90" s="13"/>
    </row>
    <row r="91" spans="6:18" x14ac:dyDescent="0.25">
      <c r="F91" s="13"/>
      <c r="G91" s="13"/>
      <c r="H91" s="13"/>
      <c r="I91" s="8"/>
      <c r="J91" s="13"/>
      <c r="K91" s="13"/>
      <c r="L91" s="13"/>
    </row>
    <row r="103" spans="1:28" x14ac:dyDescent="0.25">
      <c r="AB103">
        <f>100*(3.6-0.55)/4.9</f>
        <v>62.244897959183668</v>
      </c>
    </row>
    <row r="104" spans="1:28" x14ac:dyDescent="0.25">
      <c r="A104">
        <v>2</v>
      </c>
      <c r="B104" t="s">
        <v>82</v>
      </c>
      <c r="D104" s="32" t="s">
        <v>90</v>
      </c>
      <c r="E104" s="32" t="s">
        <v>91</v>
      </c>
    </row>
    <row r="105" spans="1:28" x14ac:dyDescent="0.25">
      <c r="D105" s="2" t="s">
        <v>83</v>
      </c>
      <c r="E105" s="2" t="s">
        <v>92</v>
      </c>
      <c r="F105">
        <v>0</v>
      </c>
      <c r="G105">
        <v>0</v>
      </c>
    </row>
    <row r="106" spans="1:28" x14ac:dyDescent="0.25">
      <c r="D106" s="2" t="s">
        <v>84</v>
      </c>
      <c r="E106" s="2" t="s">
        <v>93</v>
      </c>
      <c r="F106">
        <v>0</v>
      </c>
      <c r="G106">
        <v>0</v>
      </c>
    </row>
    <row r="107" spans="1:28" x14ac:dyDescent="0.25">
      <c r="D107" s="2" t="s">
        <v>85</v>
      </c>
      <c r="E107" s="2" t="s">
        <v>94</v>
      </c>
      <c r="F107">
        <v>0</v>
      </c>
      <c r="G107">
        <v>0</v>
      </c>
    </row>
    <row r="108" spans="1:28" x14ac:dyDescent="0.25">
      <c r="D108" s="2" t="s">
        <v>86</v>
      </c>
      <c r="E108" s="2" t="s">
        <v>98</v>
      </c>
      <c r="F108">
        <v>1</v>
      </c>
      <c r="G108" s="41">
        <v>0</v>
      </c>
    </row>
    <row r="109" spans="1:28" x14ac:dyDescent="0.25">
      <c r="D109" s="2" t="s">
        <v>87</v>
      </c>
      <c r="E109" s="2" t="s">
        <v>95</v>
      </c>
      <c r="F109">
        <v>1</v>
      </c>
      <c r="G109">
        <v>1</v>
      </c>
    </row>
    <row r="110" spans="1:28" x14ac:dyDescent="0.25">
      <c r="D110" s="2" t="s">
        <v>88</v>
      </c>
      <c r="E110" s="2" t="s">
        <v>96</v>
      </c>
      <c r="F110">
        <v>1</v>
      </c>
      <c r="G110">
        <v>1</v>
      </c>
    </row>
    <row r="111" spans="1:28" x14ac:dyDescent="0.25">
      <c r="D111" s="2" t="s">
        <v>89</v>
      </c>
      <c r="E111" s="2" t="s">
        <v>97</v>
      </c>
      <c r="F111">
        <v>1</v>
      </c>
      <c r="G111">
        <v>1</v>
      </c>
    </row>
    <row r="138" spans="1:2" ht="28.5" x14ac:dyDescent="0.45">
      <c r="A138" s="38">
        <v>5</v>
      </c>
      <c r="B138" s="39" t="s">
        <v>73</v>
      </c>
    </row>
    <row r="356" spans="1:6" ht="28.5" x14ac:dyDescent="0.45">
      <c r="A356" s="38">
        <v>6</v>
      </c>
      <c r="B356" s="39" t="s">
        <v>74</v>
      </c>
    </row>
    <row r="360" spans="1:6" x14ac:dyDescent="0.25">
      <c r="C360" s="6"/>
      <c r="D360" s="6"/>
      <c r="E360" s="6"/>
      <c r="F360" s="6"/>
    </row>
    <row r="361" spans="1:6" x14ac:dyDescent="0.25">
      <c r="C361" s="2"/>
      <c r="D361" s="2"/>
      <c r="E361" s="2"/>
      <c r="F361" s="2"/>
    </row>
    <row r="362" spans="1:6" x14ac:dyDescent="0.25">
      <c r="C362" s="2"/>
      <c r="D362" s="2"/>
      <c r="E362" s="2"/>
      <c r="F362" s="2"/>
    </row>
    <row r="363" spans="1:6" x14ac:dyDescent="0.25">
      <c r="C363" s="2"/>
      <c r="D363" s="2"/>
      <c r="E363" s="2"/>
      <c r="F363" s="2"/>
    </row>
    <row r="364" spans="1:6" x14ac:dyDescent="0.25">
      <c r="C364" s="2"/>
      <c r="D364" s="2"/>
      <c r="E364" s="2"/>
      <c r="F364" s="2"/>
    </row>
    <row r="365" spans="1:6" x14ac:dyDescent="0.25">
      <c r="C365" s="2"/>
      <c r="D365" s="2"/>
      <c r="E365" s="2"/>
      <c r="F365" s="2"/>
    </row>
    <row r="440" spans="1:2" ht="28.5" x14ac:dyDescent="0.45">
      <c r="A440" s="38">
        <v>7</v>
      </c>
      <c r="B440" s="39" t="s">
        <v>75</v>
      </c>
    </row>
  </sheetData>
  <hyperlinks>
    <hyperlink ref="F9" r:id="rId1" display="I_PWM_Set@ 10KHz" xr:uid="{20941281-5B67-4659-9716-F23EC07E5145}"/>
  </hyperlinks>
  <pageMargins left="0.7" right="0.7" top="0.75" bottom="0.75" header="0.3" footer="0.3"/>
  <pageSetup orientation="portrait" r:id="rId2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B76F7D-261A-4FBE-8286-D1CC9AF16175}">
  <dimension ref="A1"/>
  <sheetViews>
    <sheetView workbookViewId="0">
      <selection activeCell="G31" sqref="G3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AC0E55-088F-4248-BFB0-4733F967F1D6}">
  <dimension ref="B4:BC624"/>
  <sheetViews>
    <sheetView topLeftCell="A265" zoomScale="70" zoomScaleNormal="70" workbookViewId="0">
      <selection activeCell="AV304" sqref="AV304"/>
    </sheetView>
  </sheetViews>
  <sheetFormatPr defaultRowHeight="15" x14ac:dyDescent="0.25"/>
  <sheetData>
    <row r="4" spans="2:2" ht="18.75" x14ac:dyDescent="0.3">
      <c r="B4" s="46" t="s">
        <v>113</v>
      </c>
    </row>
    <row r="5" spans="2:2" ht="18.75" x14ac:dyDescent="0.3">
      <c r="B5" s="46" t="s">
        <v>114</v>
      </c>
    </row>
    <row r="6" spans="2:2" ht="18.75" x14ac:dyDescent="0.3">
      <c r="B6" s="46" t="s">
        <v>115</v>
      </c>
    </row>
    <row r="57" spans="6:6" x14ac:dyDescent="0.25">
      <c r="F57" t="s">
        <v>106</v>
      </c>
    </row>
    <row r="58" spans="6:6" x14ac:dyDescent="0.25">
      <c r="F58" t="s">
        <v>107</v>
      </c>
    </row>
    <row r="59" spans="6:6" x14ac:dyDescent="0.25">
      <c r="F59" s="42" t="s">
        <v>109</v>
      </c>
    </row>
    <row r="60" spans="6:6" x14ac:dyDescent="0.25">
      <c r="F60" t="s">
        <v>123</v>
      </c>
    </row>
    <row r="107" spans="6:8" x14ac:dyDescent="0.25">
      <c r="F107" s="42"/>
      <c r="H107" t="s">
        <v>106</v>
      </c>
    </row>
    <row r="108" spans="6:8" x14ac:dyDescent="0.25">
      <c r="H108" t="s">
        <v>108</v>
      </c>
    </row>
    <row r="109" spans="6:8" x14ac:dyDescent="0.25">
      <c r="H109" s="42" t="s">
        <v>109</v>
      </c>
    </row>
    <row r="110" spans="6:8" x14ac:dyDescent="0.25">
      <c r="H110" t="s">
        <v>123</v>
      </c>
    </row>
    <row r="157" spans="9:9" x14ac:dyDescent="0.25">
      <c r="I157" s="42" t="s">
        <v>110</v>
      </c>
    </row>
    <row r="158" spans="9:9" x14ac:dyDescent="0.25">
      <c r="I158" t="s">
        <v>111</v>
      </c>
    </row>
    <row r="159" spans="9:9" x14ac:dyDescent="0.25">
      <c r="I159" t="s">
        <v>112</v>
      </c>
    </row>
    <row r="160" spans="9:9" x14ac:dyDescent="0.25">
      <c r="I160" t="s">
        <v>123</v>
      </c>
    </row>
    <row r="225" spans="9:9" x14ac:dyDescent="0.25">
      <c r="I225" s="42" t="s">
        <v>110</v>
      </c>
    </row>
    <row r="226" spans="9:9" x14ac:dyDescent="0.25">
      <c r="I226" t="s">
        <v>111</v>
      </c>
    </row>
    <row r="227" spans="9:9" x14ac:dyDescent="0.25">
      <c r="I227" t="s">
        <v>112</v>
      </c>
    </row>
    <row r="228" spans="9:9" x14ac:dyDescent="0.25">
      <c r="I228" t="s">
        <v>123</v>
      </c>
    </row>
    <row r="274" spans="9:22" x14ac:dyDescent="0.25">
      <c r="I274" s="42" t="s">
        <v>110</v>
      </c>
    </row>
    <row r="275" spans="9:22" x14ac:dyDescent="0.25">
      <c r="I275" t="s">
        <v>111</v>
      </c>
    </row>
    <row r="276" spans="9:22" x14ac:dyDescent="0.25">
      <c r="I276" t="s">
        <v>117</v>
      </c>
    </row>
    <row r="277" spans="9:22" x14ac:dyDescent="0.25">
      <c r="I277" t="s">
        <v>123</v>
      </c>
    </row>
    <row r="278" spans="9:22" x14ac:dyDescent="0.25">
      <c r="U278">
        <f>10^(-12/20)</f>
        <v>0.25118864315095801</v>
      </c>
    </row>
    <row r="279" spans="9:22" x14ac:dyDescent="0.25">
      <c r="U279">
        <f>0.7/2*3.125*3.5*10^-3</f>
        <v>3.8281249999999999E-3</v>
      </c>
      <c r="V279">
        <f>U278/U279</f>
        <v>65.616625149638011</v>
      </c>
    </row>
    <row r="280" spans="9:22" x14ac:dyDescent="0.25">
      <c r="V280">
        <f>324/6*1.2</f>
        <v>64.8</v>
      </c>
    </row>
    <row r="303" spans="48:48" x14ac:dyDescent="0.25">
      <c r="AV303">
        <f>20*LOG(1.4)</f>
        <v>2.92256071356476</v>
      </c>
    </row>
    <row r="322" spans="9:9" x14ac:dyDescent="0.25">
      <c r="I322" s="42" t="s">
        <v>110</v>
      </c>
    </row>
    <row r="323" spans="9:9" x14ac:dyDescent="0.25">
      <c r="I323" t="s">
        <v>118</v>
      </c>
    </row>
    <row r="324" spans="9:9" x14ac:dyDescent="0.25">
      <c r="I324" t="s">
        <v>116</v>
      </c>
    </row>
    <row r="325" spans="9:9" x14ac:dyDescent="0.25">
      <c r="I325" t="s">
        <v>123</v>
      </c>
    </row>
    <row r="368" spans="8:8" x14ac:dyDescent="0.25">
      <c r="H368" s="42" t="s">
        <v>110</v>
      </c>
    </row>
    <row r="369" spans="8:8" x14ac:dyDescent="0.25">
      <c r="H369" t="s">
        <v>118</v>
      </c>
    </row>
    <row r="370" spans="8:8" x14ac:dyDescent="0.25">
      <c r="H370" t="s">
        <v>112</v>
      </c>
    </row>
    <row r="412" spans="55:55" x14ac:dyDescent="0.25">
      <c r="BC412" t="s">
        <v>119</v>
      </c>
    </row>
    <row r="428" spans="9:9" x14ac:dyDescent="0.25">
      <c r="I428" s="42" t="s">
        <v>110</v>
      </c>
    </row>
    <row r="429" spans="9:9" x14ac:dyDescent="0.25">
      <c r="I429" t="s">
        <v>118</v>
      </c>
    </row>
    <row r="430" spans="9:9" x14ac:dyDescent="0.25">
      <c r="I430" t="s">
        <v>112</v>
      </c>
    </row>
    <row r="433" spans="9:9" x14ac:dyDescent="0.25">
      <c r="I433" t="s">
        <v>120</v>
      </c>
    </row>
    <row r="474" spans="8:8" x14ac:dyDescent="0.25">
      <c r="H474" s="42" t="s">
        <v>110</v>
      </c>
    </row>
    <row r="475" spans="8:8" x14ac:dyDescent="0.25">
      <c r="H475" t="s">
        <v>118</v>
      </c>
    </row>
    <row r="476" spans="8:8" x14ac:dyDescent="0.25">
      <c r="H476" t="s">
        <v>112</v>
      </c>
    </row>
    <row r="500" spans="43:43" x14ac:dyDescent="0.25">
      <c r="AQ500" t="s">
        <v>121</v>
      </c>
    </row>
    <row r="525" spans="7:7" x14ac:dyDescent="0.25">
      <c r="G525" s="42" t="s">
        <v>110</v>
      </c>
    </row>
    <row r="526" spans="7:7" x14ac:dyDescent="0.25">
      <c r="G526" t="s">
        <v>118</v>
      </c>
    </row>
    <row r="527" spans="7:7" x14ac:dyDescent="0.25">
      <c r="G527" t="s">
        <v>112</v>
      </c>
    </row>
    <row r="528" spans="7:7" x14ac:dyDescent="0.25">
      <c r="G528" t="s">
        <v>122</v>
      </c>
    </row>
    <row r="546" spans="42:42" x14ac:dyDescent="0.25">
      <c r="AP546" t="s">
        <v>124</v>
      </c>
    </row>
    <row r="569" spans="15:15" ht="31.5" x14ac:dyDescent="0.5">
      <c r="O569" s="47" t="s">
        <v>125</v>
      </c>
    </row>
    <row r="592" spans="8:8" x14ac:dyDescent="0.25">
      <c r="H592">
        <f>3.5*3.125</f>
        <v>10.9375</v>
      </c>
    </row>
    <row r="606" spans="31:31" x14ac:dyDescent="0.25">
      <c r="AE606">
        <f>360-330</f>
        <v>30</v>
      </c>
    </row>
    <row r="618" spans="33:36" x14ac:dyDescent="0.25">
      <c r="AH618">
        <v>-21</v>
      </c>
    </row>
    <row r="619" spans="33:36" x14ac:dyDescent="0.25">
      <c r="AH619">
        <f>20*LOG(3.5)</f>
        <v>10.881360887005513</v>
      </c>
      <c r="AI619">
        <f>20*LOG(220/3.3)</f>
        <v>36.47817481888638</v>
      </c>
      <c r="AJ619">
        <f>AI619+AH618+AH619</f>
        <v>26.359535705891894</v>
      </c>
    </row>
    <row r="623" spans="33:36" x14ac:dyDescent="0.25">
      <c r="AG623">
        <f>55/0.77*0.9/2</f>
        <v>32.142857142857146</v>
      </c>
      <c r="AH623">
        <f>20*LOG(3.125*10^-3)</f>
        <v>-50.102999566398118</v>
      </c>
    </row>
    <row r="624" spans="33:36" x14ac:dyDescent="0.25">
      <c r="AH624">
        <f>20*LOG(55/0.77*0.9/2)</f>
        <v>30.141689561942115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86A317-C758-4F0C-8D6D-13BF4FAA847B}">
  <dimension ref="A3:AC226"/>
  <sheetViews>
    <sheetView tabSelected="1" topLeftCell="A170" zoomScaleNormal="100" workbookViewId="0">
      <selection activeCell="D192" sqref="D192"/>
    </sheetView>
  </sheetViews>
  <sheetFormatPr defaultRowHeight="15" x14ac:dyDescent="0.25"/>
  <cols>
    <col min="4" max="4" width="21.85546875" customWidth="1"/>
    <col min="5" max="5" width="14" customWidth="1"/>
    <col min="6" max="6" width="16" customWidth="1"/>
    <col min="7" max="7" width="17.85546875" customWidth="1"/>
    <col min="8" max="8" width="15" customWidth="1"/>
    <col min="9" max="9" width="12.85546875" customWidth="1"/>
    <col min="10" max="10" width="20.140625" customWidth="1"/>
    <col min="11" max="11" width="13" customWidth="1"/>
    <col min="12" max="12" width="10.7109375" customWidth="1"/>
    <col min="13" max="13" width="16.42578125" customWidth="1"/>
    <col min="14" max="14" width="17" customWidth="1"/>
    <col min="15" max="16" width="12.7109375" customWidth="1"/>
    <col min="17" max="17" width="21.140625" customWidth="1"/>
    <col min="18" max="18" width="19" bestFit="1" customWidth="1"/>
    <col min="19" max="19" width="21.7109375" customWidth="1"/>
    <col min="20" max="20" width="25.85546875" customWidth="1"/>
    <col min="21" max="21" width="13" bestFit="1" customWidth="1"/>
    <col min="22" max="22" width="67.28515625" customWidth="1"/>
    <col min="23" max="23" width="57" customWidth="1"/>
    <col min="24" max="24" width="25.5703125" bestFit="1" customWidth="1"/>
    <col min="27" max="27" width="34.7109375" bestFit="1" customWidth="1"/>
    <col min="28" max="28" width="6" customWidth="1"/>
  </cols>
  <sheetData>
    <row r="3" spans="5:27" x14ac:dyDescent="0.25">
      <c r="E3" t="s">
        <v>369</v>
      </c>
    </row>
    <row r="4" spans="5:27" x14ac:dyDescent="0.25">
      <c r="E4" s="57" t="s">
        <v>133</v>
      </c>
      <c r="F4" s="58" t="s">
        <v>134</v>
      </c>
      <c r="G4" s="58" t="s">
        <v>143</v>
      </c>
      <c r="H4" s="58" t="s">
        <v>144</v>
      </c>
      <c r="I4" s="58" t="s">
        <v>145</v>
      </c>
      <c r="J4" s="58" t="s">
        <v>148</v>
      </c>
      <c r="K4" s="58" t="s">
        <v>146</v>
      </c>
      <c r="L4" s="58" t="s">
        <v>147</v>
      </c>
      <c r="M4" s="58" t="s">
        <v>139</v>
      </c>
      <c r="N4" s="58" t="s">
        <v>135</v>
      </c>
      <c r="O4" s="58" t="s">
        <v>149</v>
      </c>
      <c r="P4" s="58" t="s">
        <v>179</v>
      </c>
      <c r="Q4" s="58" t="s">
        <v>256</v>
      </c>
      <c r="R4" s="58" t="s">
        <v>338</v>
      </c>
      <c r="S4" s="58" t="s">
        <v>306</v>
      </c>
      <c r="T4" s="58" t="s">
        <v>136</v>
      </c>
      <c r="U4" s="58" t="s">
        <v>335</v>
      </c>
      <c r="V4" s="58" t="s">
        <v>151</v>
      </c>
      <c r="W4" s="58" t="s">
        <v>141</v>
      </c>
      <c r="X4" s="59" t="s">
        <v>167</v>
      </c>
      <c r="Y4" s="58" t="s">
        <v>193</v>
      </c>
      <c r="Z4" s="58" t="s">
        <v>280</v>
      </c>
      <c r="AA4" s="58" t="s">
        <v>339</v>
      </c>
    </row>
    <row r="5" spans="5:27" hidden="1" x14ac:dyDescent="0.25">
      <c r="E5" s="51">
        <v>70</v>
      </c>
      <c r="F5" s="2">
        <v>120</v>
      </c>
      <c r="G5" s="2">
        <v>1.2</v>
      </c>
      <c r="H5" s="2">
        <v>1.8</v>
      </c>
      <c r="I5" s="2">
        <v>210</v>
      </c>
      <c r="J5" s="2">
        <v>0</v>
      </c>
      <c r="K5" s="2"/>
      <c r="L5" s="2">
        <v>4</v>
      </c>
      <c r="M5" s="2"/>
      <c r="N5" s="2">
        <v>3.1</v>
      </c>
      <c r="O5" s="2">
        <v>2600</v>
      </c>
      <c r="P5" s="5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5" s="5"/>
      <c r="R5" s="5"/>
      <c r="S5" s="5"/>
      <c r="T5" s="2" t="s">
        <v>137</v>
      </c>
      <c r="U5" s="2" t="s">
        <v>336</v>
      </c>
      <c r="V5" s="2"/>
      <c r="W5" s="2"/>
      <c r="X5" s="44"/>
      <c r="Y5" s="65"/>
      <c r="Z5" s="65"/>
      <c r="AA5" s="65"/>
    </row>
    <row r="6" spans="5:27" hidden="1" x14ac:dyDescent="0.25">
      <c r="E6" s="51">
        <v>70</v>
      </c>
      <c r="F6" s="2"/>
      <c r="G6" s="2"/>
      <c r="H6" s="2"/>
      <c r="I6" s="2">
        <v>240</v>
      </c>
      <c r="J6" s="2">
        <v>0</v>
      </c>
      <c r="K6" s="2"/>
      <c r="L6" s="2"/>
      <c r="M6" s="2"/>
      <c r="N6" s="2"/>
      <c r="O6" s="2"/>
      <c r="P6" s="5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6" s="5"/>
      <c r="R6" s="5"/>
      <c r="S6" s="5"/>
      <c r="T6" s="2" t="s">
        <v>138</v>
      </c>
      <c r="U6" s="2" t="s">
        <v>336</v>
      </c>
      <c r="V6" s="2"/>
      <c r="W6" s="2"/>
      <c r="X6" s="44"/>
      <c r="Y6" s="65"/>
      <c r="Z6" s="65"/>
      <c r="AA6" s="65"/>
    </row>
    <row r="7" spans="5:27" ht="60" hidden="1" x14ac:dyDescent="0.25">
      <c r="E7" s="51">
        <v>60</v>
      </c>
      <c r="F7" s="2">
        <v>120</v>
      </c>
      <c r="G7" s="2">
        <v>1.2</v>
      </c>
      <c r="H7" s="2"/>
      <c r="I7" s="2">
        <v>200</v>
      </c>
      <c r="J7" s="2"/>
      <c r="K7" s="2">
        <v>161</v>
      </c>
      <c r="L7" s="2"/>
      <c r="M7" s="2">
        <v>22</v>
      </c>
      <c r="N7" s="2"/>
      <c r="O7" s="2">
        <v>2400</v>
      </c>
      <c r="P7" s="5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63.272727272727273</v>
      </c>
      <c r="Q7" s="5"/>
      <c r="R7" s="5"/>
      <c r="S7" s="5"/>
      <c r="T7" s="49" t="s">
        <v>140</v>
      </c>
      <c r="U7" s="49" t="s">
        <v>336</v>
      </c>
      <c r="V7" s="49"/>
      <c r="W7" s="49" t="s">
        <v>142</v>
      </c>
      <c r="X7" s="44"/>
      <c r="Y7" s="65"/>
      <c r="Z7" s="65"/>
      <c r="AA7" s="65"/>
    </row>
    <row r="8" spans="5:27" hidden="1" x14ac:dyDescent="0.25">
      <c r="E8" s="52">
        <v>59</v>
      </c>
      <c r="F8" s="2">
        <v>140</v>
      </c>
      <c r="G8" s="2">
        <v>1</v>
      </c>
      <c r="H8" s="2">
        <v>2</v>
      </c>
      <c r="I8" s="50">
        <v>210</v>
      </c>
      <c r="J8" s="50">
        <v>0.5</v>
      </c>
      <c r="K8" s="2">
        <v>186</v>
      </c>
      <c r="L8" s="2">
        <v>4</v>
      </c>
      <c r="M8" s="2">
        <v>20</v>
      </c>
      <c r="N8" s="2">
        <v>3.7</v>
      </c>
      <c r="O8" s="2">
        <v>1800</v>
      </c>
      <c r="P8" s="5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81.224999999999994</v>
      </c>
      <c r="Q8" s="5"/>
      <c r="R8" s="5"/>
      <c r="S8" s="5"/>
      <c r="T8" s="50" t="s">
        <v>150</v>
      </c>
      <c r="U8" s="50" t="s">
        <v>336</v>
      </c>
      <c r="V8" s="50" t="s">
        <v>152</v>
      </c>
      <c r="W8" s="2" t="s">
        <v>153</v>
      </c>
      <c r="X8" s="44"/>
      <c r="Y8" s="65"/>
      <c r="Z8" s="65"/>
      <c r="AA8" s="65"/>
    </row>
    <row r="9" spans="5:27" hidden="1" x14ac:dyDescent="0.25">
      <c r="E9" s="86">
        <v>50</v>
      </c>
      <c r="F9" s="87">
        <v>140</v>
      </c>
      <c r="G9" s="87">
        <v>1</v>
      </c>
      <c r="H9" s="87">
        <v>2</v>
      </c>
      <c r="I9" s="87">
        <v>210</v>
      </c>
      <c r="J9" s="87">
        <v>0.5</v>
      </c>
      <c r="K9" s="87">
        <v>186</v>
      </c>
      <c r="L9" s="87">
        <v>4</v>
      </c>
      <c r="M9" s="87">
        <v>20</v>
      </c>
      <c r="N9" s="87">
        <v>3.7</v>
      </c>
      <c r="O9" s="87">
        <v>1600</v>
      </c>
      <c r="P9" s="8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73.8</v>
      </c>
      <c r="Q9" s="89"/>
      <c r="R9" s="89">
        <v>0</v>
      </c>
      <c r="S9" s="89"/>
      <c r="T9" s="87" t="s">
        <v>154</v>
      </c>
      <c r="U9" s="87" t="s">
        <v>337</v>
      </c>
      <c r="V9" s="50" t="s">
        <v>152</v>
      </c>
      <c r="W9" s="2" t="s">
        <v>155</v>
      </c>
      <c r="X9" s="44"/>
      <c r="Y9" s="65"/>
      <c r="Z9" s="65" t="s">
        <v>281</v>
      </c>
      <c r="AA9" s="65">
        <f>Table1[[#This Row],[I_Step-1]]-(Table1[[#This Row],[I_Valley_Set]]-(Table1[[#This Row],[I_Ramp-Down '[A']]]/2))</f>
        <v>90</v>
      </c>
    </row>
    <row r="10" spans="5:27" hidden="1" x14ac:dyDescent="0.25">
      <c r="E10" s="86">
        <v>50</v>
      </c>
      <c r="F10" s="87">
        <v>140</v>
      </c>
      <c r="G10" s="87">
        <v>1</v>
      </c>
      <c r="H10" s="87">
        <v>2</v>
      </c>
      <c r="I10" s="87">
        <v>210</v>
      </c>
      <c r="J10" s="87">
        <v>0.5</v>
      </c>
      <c r="K10" s="87">
        <v>186</v>
      </c>
      <c r="L10" s="87">
        <v>4</v>
      </c>
      <c r="M10" s="87">
        <v>20</v>
      </c>
      <c r="N10" s="87">
        <v>3.7</v>
      </c>
      <c r="O10" s="87">
        <v>1500</v>
      </c>
      <c r="P10" s="8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73.8</v>
      </c>
      <c r="Q10" s="89"/>
      <c r="R10" s="89">
        <v>0</v>
      </c>
      <c r="S10" s="89"/>
      <c r="T10" s="87" t="s">
        <v>154</v>
      </c>
      <c r="U10" s="87" t="s">
        <v>337</v>
      </c>
      <c r="V10" s="50" t="s">
        <v>152</v>
      </c>
      <c r="W10" s="2" t="s">
        <v>156</v>
      </c>
      <c r="X10" s="44"/>
      <c r="Y10" s="65"/>
      <c r="Z10" s="65" t="s">
        <v>281</v>
      </c>
      <c r="AA10" s="65">
        <f>Table1[[#This Row],[I_Step-1]]-(Table1[[#This Row],[I_Valley_Set]]-(Table1[[#This Row],[I_Ramp-Down '[A']]]/2))</f>
        <v>90</v>
      </c>
    </row>
    <row r="11" spans="5:27" hidden="1" x14ac:dyDescent="0.25">
      <c r="E11" s="86">
        <v>50</v>
      </c>
      <c r="F11" s="87">
        <v>140</v>
      </c>
      <c r="G11" s="87">
        <v>1</v>
      </c>
      <c r="H11" s="87">
        <v>2</v>
      </c>
      <c r="I11" s="87">
        <v>210</v>
      </c>
      <c r="J11" s="87">
        <v>0.5</v>
      </c>
      <c r="K11" s="87">
        <v>186</v>
      </c>
      <c r="L11" s="87">
        <v>4</v>
      </c>
      <c r="M11" s="87">
        <v>20</v>
      </c>
      <c r="N11" s="87">
        <v>3.7</v>
      </c>
      <c r="O11" s="87">
        <v>1500</v>
      </c>
      <c r="P11" s="8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73.8</v>
      </c>
      <c r="Q11" s="89"/>
      <c r="R11" s="89">
        <v>0</v>
      </c>
      <c r="S11" s="89"/>
      <c r="T11" s="87" t="s">
        <v>154</v>
      </c>
      <c r="U11" s="87" t="s">
        <v>337</v>
      </c>
      <c r="V11" s="50" t="s">
        <v>157</v>
      </c>
      <c r="W11" s="50" t="s">
        <v>158</v>
      </c>
      <c r="X11" s="44"/>
      <c r="Y11" s="65"/>
      <c r="Z11" s="65" t="s">
        <v>281</v>
      </c>
      <c r="AA11" s="65">
        <f>Table1[[#This Row],[I_Step-1]]-(Table1[[#This Row],[I_Valley_Set]]-(Table1[[#This Row],[I_Ramp-Down '[A']]]/2))</f>
        <v>90</v>
      </c>
    </row>
    <row r="12" spans="5:27" hidden="1" x14ac:dyDescent="0.25">
      <c r="E12" s="52">
        <v>50</v>
      </c>
      <c r="F12" s="50">
        <v>120</v>
      </c>
      <c r="G12" s="50">
        <v>2</v>
      </c>
      <c r="H12" s="50">
        <v>4</v>
      </c>
      <c r="I12" s="50">
        <v>200</v>
      </c>
      <c r="J12" s="50">
        <v>1</v>
      </c>
      <c r="K12" s="50">
        <v>177</v>
      </c>
      <c r="L12" s="50">
        <v>4</v>
      </c>
      <c r="M12" s="50">
        <v>17</v>
      </c>
      <c r="N12" s="50">
        <v>3.9</v>
      </c>
      <c r="O12" s="50">
        <v>1500</v>
      </c>
      <c r="P12" s="64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87.35294117647058</v>
      </c>
      <c r="Q12" s="64"/>
      <c r="R12" s="64"/>
      <c r="S12" s="64"/>
      <c r="T12" s="50" t="s">
        <v>159</v>
      </c>
      <c r="U12" s="50" t="s">
        <v>336</v>
      </c>
      <c r="V12" s="2"/>
      <c r="W12" s="2" t="s">
        <v>160</v>
      </c>
      <c r="X12" s="44"/>
      <c r="Y12" s="65"/>
      <c r="Z12" s="65"/>
      <c r="AA12" s="65"/>
    </row>
    <row r="13" spans="5:27" hidden="1" x14ac:dyDescent="0.25">
      <c r="E13" s="52">
        <v>50</v>
      </c>
      <c r="F13" s="50">
        <v>120</v>
      </c>
      <c r="G13" s="50">
        <v>1</v>
      </c>
      <c r="H13" s="50">
        <v>2</v>
      </c>
      <c r="I13" s="50">
        <v>200</v>
      </c>
      <c r="J13" s="50">
        <v>0.5</v>
      </c>
      <c r="K13" s="50">
        <v>177</v>
      </c>
      <c r="L13" s="50">
        <v>2</v>
      </c>
      <c r="M13" s="50">
        <v>13</v>
      </c>
      <c r="N13" s="50">
        <v>4</v>
      </c>
      <c r="O13" s="50">
        <v>1500</v>
      </c>
      <c r="P13" s="64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74.423076923076934</v>
      </c>
      <c r="Q13" s="64"/>
      <c r="R13" s="64"/>
      <c r="S13" s="64"/>
      <c r="T13" s="50" t="s">
        <v>161</v>
      </c>
      <c r="U13" s="50" t="s">
        <v>336</v>
      </c>
      <c r="V13" s="50" t="s">
        <v>162</v>
      </c>
      <c r="W13" s="50" t="s">
        <v>163</v>
      </c>
      <c r="X13" s="44"/>
      <c r="Y13" s="65"/>
      <c r="Z13" s="65"/>
      <c r="AA13" s="65"/>
    </row>
    <row r="14" spans="5:27" hidden="1" x14ac:dyDescent="0.25">
      <c r="E14" s="53">
        <v>50</v>
      </c>
      <c r="F14" s="54">
        <v>120</v>
      </c>
      <c r="G14" s="54">
        <v>1</v>
      </c>
      <c r="H14" s="54">
        <v>4</v>
      </c>
      <c r="I14" s="54">
        <v>200</v>
      </c>
      <c r="J14" s="54">
        <v>1</v>
      </c>
      <c r="K14" s="54">
        <v>177</v>
      </c>
      <c r="L14" s="54">
        <v>4</v>
      </c>
      <c r="M14" s="54">
        <v>17</v>
      </c>
      <c r="N14" s="54">
        <v>4</v>
      </c>
      <c r="O14" s="54">
        <v>1500</v>
      </c>
      <c r="P14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83.235294117647058</v>
      </c>
      <c r="Q14" s="63"/>
      <c r="R14" s="63">
        <v>0</v>
      </c>
      <c r="S14" s="63"/>
      <c r="T14" s="54" t="s">
        <v>164</v>
      </c>
      <c r="U14" s="54" t="s">
        <v>337</v>
      </c>
      <c r="V14" s="54" t="s">
        <v>165</v>
      </c>
      <c r="W14" s="55" t="s">
        <v>169</v>
      </c>
      <c r="X14" s="56" t="s">
        <v>166</v>
      </c>
      <c r="Y14" s="65"/>
      <c r="Z14" s="65" t="s">
        <v>281</v>
      </c>
      <c r="AA14" s="65">
        <f>Table1[[#This Row],[I_Step-1]]-(Table1[[#This Row],[I_Valley_Set]]-(Table1[[#This Row],[I_Ramp-Down '[A']]]/2))</f>
        <v>70</v>
      </c>
    </row>
    <row r="15" spans="5:27" s="31" customFormat="1" hidden="1" x14ac:dyDescent="0.25">
      <c r="E15" s="70">
        <v>55</v>
      </c>
      <c r="F15" s="71">
        <v>120</v>
      </c>
      <c r="G15" s="71">
        <v>1</v>
      </c>
      <c r="H15" s="71">
        <v>4</v>
      </c>
      <c r="I15" s="71">
        <v>200</v>
      </c>
      <c r="J15" s="71">
        <v>1</v>
      </c>
      <c r="K15" s="71">
        <v>177</v>
      </c>
      <c r="L15" s="71">
        <v>4</v>
      </c>
      <c r="M15" s="71">
        <v>17</v>
      </c>
      <c r="N15" s="71">
        <v>4</v>
      </c>
      <c r="O15" s="71">
        <v>1500</v>
      </c>
      <c r="P15" s="72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87.058823529411768</v>
      </c>
      <c r="Q15" s="72"/>
      <c r="R15" s="72">
        <v>0</v>
      </c>
      <c r="S15" s="72"/>
      <c r="T15" s="71" t="s">
        <v>164</v>
      </c>
      <c r="U15" s="71" t="s">
        <v>337</v>
      </c>
      <c r="V15" s="71" t="s">
        <v>171</v>
      </c>
      <c r="W15" s="71" t="s">
        <v>170</v>
      </c>
      <c r="X15" s="73" t="s">
        <v>168</v>
      </c>
      <c r="Z15" s="65" t="s">
        <v>281</v>
      </c>
      <c r="AA15" s="65">
        <f>Table1[[#This Row],[I_Step-1]]-(Table1[[#This Row],[I_Valley_Set]]-(Table1[[#This Row],[I_Ramp-Down '[A']]]/2))</f>
        <v>65</v>
      </c>
    </row>
    <row r="16" spans="5:27" hidden="1" x14ac:dyDescent="0.25">
      <c r="E16" s="53">
        <v>55</v>
      </c>
      <c r="F16" s="54">
        <v>120</v>
      </c>
      <c r="G16" s="54">
        <v>1</v>
      </c>
      <c r="H16" s="54">
        <v>4</v>
      </c>
      <c r="I16" s="54">
        <v>200</v>
      </c>
      <c r="J16" s="54">
        <v>1</v>
      </c>
      <c r="K16" s="54">
        <v>177</v>
      </c>
      <c r="L16" s="54">
        <v>4</v>
      </c>
      <c r="M16" s="60">
        <v>20</v>
      </c>
      <c r="N16" s="54">
        <v>4</v>
      </c>
      <c r="O16" s="54">
        <v>1500</v>
      </c>
      <c r="P16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82.25</v>
      </c>
      <c r="Q16" s="63"/>
      <c r="R16" s="63">
        <v>0</v>
      </c>
      <c r="S16" s="63"/>
      <c r="T16" s="54" t="s">
        <v>164</v>
      </c>
      <c r="U16" s="54" t="s">
        <v>337</v>
      </c>
      <c r="V16" s="54" t="s">
        <v>171</v>
      </c>
      <c r="W16" s="55" t="s">
        <v>173</v>
      </c>
      <c r="X16" s="56" t="s">
        <v>172</v>
      </c>
      <c r="Y16" s="65"/>
      <c r="Z16" s="65" t="s">
        <v>281</v>
      </c>
      <c r="AA16" s="65">
        <f>Table1[[#This Row],[I_Step-1]]-(Table1[[#This Row],[I_Valley_Set]]-(Table1[[#This Row],[I_Ramp-Down '[A']]]/2))</f>
        <v>65</v>
      </c>
    </row>
    <row r="17" spans="5:29" hidden="1" x14ac:dyDescent="0.25">
      <c r="E17" s="84">
        <v>65</v>
      </c>
      <c r="F17" s="83">
        <v>140</v>
      </c>
      <c r="G17" s="83">
        <v>1.5</v>
      </c>
      <c r="H17" s="83">
        <v>6</v>
      </c>
      <c r="I17" s="83">
        <v>215</v>
      </c>
      <c r="J17" s="83">
        <v>1.6</v>
      </c>
      <c r="K17" s="83">
        <v>190</v>
      </c>
      <c r="L17" s="83">
        <v>4</v>
      </c>
      <c r="M17" s="83">
        <v>26</v>
      </c>
      <c r="N17" s="83">
        <v>4</v>
      </c>
      <c r="O17" s="83">
        <v>1500</v>
      </c>
      <c r="P17" s="85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92.40384615384616</v>
      </c>
      <c r="Q17" s="85">
        <v>5</v>
      </c>
      <c r="R17" s="85">
        <v>0</v>
      </c>
      <c r="S17" s="85"/>
      <c r="T17" s="83" t="s">
        <v>215</v>
      </c>
      <c r="U17" s="83" t="s">
        <v>337</v>
      </c>
      <c r="V17" s="54"/>
      <c r="W17" s="55"/>
      <c r="X17" s="68"/>
      <c r="Y17" s="65" t="s">
        <v>208</v>
      </c>
      <c r="Z17" s="65" t="s">
        <v>281</v>
      </c>
      <c r="AA17" s="65">
        <f>Table1[[#This Row],[I_Step-1]]-(Table1[[#This Row],[I_Valley_Set]]-(Table1[[#This Row],[I_Ramp-Down '[A']]]/2))</f>
        <v>75</v>
      </c>
    </row>
    <row r="18" spans="5:29" ht="30" hidden="1" x14ac:dyDescent="0.25">
      <c r="E18" s="61">
        <v>52</v>
      </c>
      <c r="F18" s="54">
        <v>125</v>
      </c>
      <c r="G18" s="54">
        <v>1</v>
      </c>
      <c r="H18" s="54">
        <v>4</v>
      </c>
      <c r="I18" s="54">
        <v>200</v>
      </c>
      <c r="J18" s="54">
        <v>1</v>
      </c>
      <c r="K18" s="54">
        <v>177</v>
      </c>
      <c r="L18" s="54">
        <v>4</v>
      </c>
      <c r="M18" s="54">
        <v>20</v>
      </c>
      <c r="N18" s="54">
        <v>4</v>
      </c>
      <c r="O18" s="54">
        <v>1500</v>
      </c>
      <c r="P18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79.599999999999994</v>
      </c>
      <c r="Q18" s="63"/>
      <c r="R18" s="63"/>
      <c r="S18" s="63"/>
      <c r="T18" s="54" t="s">
        <v>175</v>
      </c>
      <c r="U18" s="54" t="s">
        <v>336</v>
      </c>
      <c r="V18" s="54" t="s">
        <v>177</v>
      </c>
      <c r="W18" s="62" t="s">
        <v>178</v>
      </c>
      <c r="X18" s="56" t="s">
        <v>176</v>
      </c>
      <c r="Y18" s="65" t="s">
        <v>180</v>
      </c>
      <c r="Z18" s="65"/>
      <c r="AA18" s="65"/>
    </row>
    <row r="19" spans="5:29" hidden="1" x14ac:dyDescent="0.25">
      <c r="E19" s="61">
        <v>50</v>
      </c>
      <c r="F19" s="54">
        <v>140</v>
      </c>
      <c r="G19" s="60">
        <v>4</v>
      </c>
      <c r="H19" s="54">
        <v>4</v>
      </c>
      <c r="I19" s="54">
        <v>200</v>
      </c>
      <c r="J19" s="54">
        <v>0.5</v>
      </c>
      <c r="K19" s="54">
        <v>177</v>
      </c>
      <c r="L19" s="60">
        <v>8</v>
      </c>
      <c r="M19" s="54">
        <v>25</v>
      </c>
      <c r="N19" s="54">
        <v>4</v>
      </c>
      <c r="O19" s="54">
        <v>1500</v>
      </c>
      <c r="P19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90.22</v>
      </c>
      <c r="Q19" s="63"/>
      <c r="R19" s="63"/>
      <c r="S19" s="63"/>
      <c r="T19" s="54" t="s">
        <v>181</v>
      </c>
      <c r="U19" s="54" t="s">
        <v>336</v>
      </c>
      <c r="V19" s="54"/>
      <c r="W19" s="55" t="s">
        <v>184</v>
      </c>
      <c r="X19" s="56" t="s">
        <v>182</v>
      </c>
      <c r="Y19" s="65" t="s">
        <v>183</v>
      </c>
      <c r="Z19" s="65"/>
      <c r="AA19" s="65"/>
    </row>
    <row r="20" spans="5:29" ht="30" hidden="1" x14ac:dyDescent="0.25">
      <c r="E20" s="54">
        <v>50</v>
      </c>
      <c r="F20" s="54">
        <v>140</v>
      </c>
      <c r="G20" s="66">
        <v>4</v>
      </c>
      <c r="H20" s="54">
        <v>4</v>
      </c>
      <c r="I20" s="54">
        <v>200</v>
      </c>
      <c r="J20" s="54">
        <v>0.5</v>
      </c>
      <c r="K20" s="54">
        <v>177</v>
      </c>
      <c r="L20" s="54">
        <v>8</v>
      </c>
      <c r="M20" s="54">
        <v>25</v>
      </c>
      <c r="N20" s="60">
        <v>4.2</v>
      </c>
      <c r="O20" s="54">
        <v>1500</v>
      </c>
      <c r="P20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90.22</v>
      </c>
      <c r="Q20" s="63"/>
      <c r="R20" s="63"/>
      <c r="S20" s="63"/>
      <c r="T20" s="54" t="s">
        <v>185</v>
      </c>
      <c r="U20" s="54" t="s">
        <v>336</v>
      </c>
      <c r="V20" s="67" t="s">
        <v>188</v>
      </c>
      <c r="W20" s="55" t="s">
        <v>186</v>
      </c>
      <c r="X20" s="56" t="s">
        <v>187</v>
      </c>
      <c r="Y20" s="65" t="s">
        <v>191</v>
      </c>
      <c r="Z20" s="65" t="s">
        <v>281</v>
      </c>
      <c r="AA20" s="65"/>
    </row>
    <row r="21" spans="5:29" hidden="1" x14ac:dyDescent="0.25">
      <c r="E21" s="54">
        <v>50</v>
      </c>
      <c r="F21" s="54">
        <v>140</v>
      </c>
      <c r="G21" s="66">
        <v>4</v>
      </c>
      <c r="H21" s="54">
        <v>4</v>
      </c>
      <c r="I21" s="54">
        <v>200</v>
      </c>
      <c r="J21" s="54">
        <v>0.5</v>
      </c>
      <c r="K21" s="54">
        <v>177</v>
      </c>
      <c r="L21" s="54">
        <v>8</v>
      </c>
      <c r="M21" s="54">
        <v>25</v>
      </c>
      <c r="N21" s="54">
        <v>4.5</v>
      </c>
      <c r="O21" s="54">
        <v>1500</v>
      </c>
      <c r="P21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90.22</v>
      </c>
      <c r="Q21" s="63"/>
      <c r="R21" s="63"/>
      <c r="S21" s="63"/>
      <c r="T21" s="54" t="s">
        <v>189</v>
      </c>
      <c r="U21" s="54" t="s">
        <v>336</v>
      </c>
      <c r="V21" s="54"/>
      <c r="W21" s="55"/>
      <c r="X21" s="56" t="s">
        <v>190</v>
      </c>
      <c r="Y21" s="65" t="s">
        <v>191</v>
      </c>
      <c r="Z21" s="65" t="s">
        <v>281</v>
      </c>
      <c r="AA21" s="65"/>
    </row>
    <row r="22" spans="5:29" hidden="1" x14ac:dyDescent="0.25">
      <c r="E22" s="54">
        <v>50</v>
      </c>
      <c r="F22" s="54">
        <v>140</v>
      </c>
      <c r="G22" s="66">
        <v>4</v>
      </c>
      <c r="H22" s="54">
        <v>4</v>
      </c>
      <c r="I22" s="54">
        <v>200</v>
      </c>
      <c r="J22" s="54">
        <v>0.5</v>
      </c>
      <c r="K22" s="54">
        <v>177</v>
      </c>
      <c r="L22" s="54">
        <v>8</v>
      </c>
      <c r="M22" s="54">
        <v>25</v>
      </c>
      <c r="N22" s="54">
        <v>4</v>
      </c>
      <c r="O22" s="54">
        <v>1400</v>
      </c>
      <c r="P22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90.22</v>
      </c>
      <c r="Q22" s="63"/>
      <c r="R22" s="63"/>
      <c r="S22" s="63"/>
      <c r="T22" s="54" t="s">
        <v>192</v>
      </c>
      <c r="U22" s="54" t="s">
        <v>336</v>
      </c>
      <c r="V22" s="54"/>
      <c r="W22" s="55"/>
      <c r="X22" s="68"/>
      <c r="Y22" s="69" t="s">
        <v>194</v>
      </c>
      <c r="Z22" s="65" t="s">
        <v>281</v>
      </c>
      <c r="AA22" s="65"/>
    </row>
    <row r="23" spans="5:29" ht="30" hidden="1" x14ac:dyDescent="0.25">
      <c r="E23" s="54">
        <v>50</v>
      </c>
      <c r="F23" s="54">
        <v>140</v>
      </c>
      <c r="G23" s="66">
        <v>4</v>
      </c>
      <c r="H23" s="54">
        <v>4</v>
      </c>
      <c r="I23" s="54">
        <v>200</v>
      </c>
      <c r="J23" s="54">
        <v>1</v>
      </c>
      <c r="K23" s="54">
        <v>177</v>
      </c>
      <c r="L23" s="54">
        <v>8</v>
      </c>
      <c r="M23" s="54">
        <v>25</v>
      </c>
      <c r="N23" s="54">
        <v>4</v>
      </c>
      <c r="O23" s="60">
        <v>1800</v>
      </c>
      <c r="P23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92.759999999999991</v>
      </c>
      <c r="Q23" s="63"/>
      <c r="R23" s="63"/>
      <c r="S23" s="63"/>
      <c r="T23" s="54" t="s">
        <v>195</v>
      </c>
      <c r="U23" s="54" t="s">
        <v>336</v>
      </c>
      <c r="V23" s="54" t="s">
        <v>196</v>
      </c>
      <c r="W23" s="62" t="s">
        <v>197</v>
      </c>
      <c r="X23" s="56" t="s">
        <v>198</v>
      </c>
      <c r="Y23" s="69" t="s">
        <v>194</v>
      </c>
      <c r="Z23" s="65" t="s">
        <v>281</v>
      </c>
      <c r="AA23" s="111" t="s">
        <v>237</v>
      </c>
      <c r="AB23" s="42">
        <v>1</v>
      </c>
      <c r="AC23" t="s">
        <v>238</v>
      </c>
    </row>
    <row r="24" spans="5:29" hidden="1" x14ac:dyDescent="0.25">
      <c r="E24" s="53">
        <v>45</v>
      </c>
      <c r="F24" s="54">
        <v>120</v>
      </c>
      <c r="G24" s="54">
        <v>4</v>
      </c>
      <c r="H24" s="54">
        <v>4</v>
      </c>
      <c r="I24" s="54">
        <v>200</v>
      </c>
      <c r="J24" s="54">
        <v>1</v>
      </c>
      <c r="K24" s="54">
        <v>177</v>
      </c>
      <c r="L24" s="54">
        <v>8</v>
      </c>
      <c r="M24" s="54">
        <v>27</v>
      </c>
      <c r="N24" s="54">
        <v>4</v>
      </c>
      <c r="O24" s="54">
        <v>1800</v>
      </c>
      <c r="P24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84.777777777777786</v>
      </c>
      <c r="Q24" s="63"/>
      <c r="R24" s="63"/>
      <c r="S24" s="63"/>
      <c r="T24" s="54" t="s">
        <v>195</v>
      </c>
      <c r="U24" s="54" t="s">
        <v>336</v>
      </c>
      <c r="V24" s="54" t="s">
        <v>199</v>
      </c>
      <c r="W24" s="55" t="s">
        <v>200</v>
      </c>
      <c r="X24" s="68"/>
      <c r="Y24" s="69" t="s">
        <v>194</v>
      </c>
      <c r="Z24" s="65" t="s">
        <v>281</v>
      </c>
      <c r="AA24" s="65"/>
      <c r="AB24" s="42">
        <v>2</v>
      </c>
      <c r="AC24" t="s">
        <v>239</v>
      </c>
    </row>
    <row r="25" spans="5:29" hidden="1" x14ac:dyDescent="0.25">
      <c r="E25" s="61">
        <v>55</v>
      </c>
      <c r="F25" s="54">
        <v>120</v>
      </c>
      <c r="G25" s="60">
        <v>1</v>
      </c>
      <c r="H25" s="54">
        <v>4</v>
      </c>
      <c r="I25" s="54">
        <v>200</v>
      </c>
      <c r="J25" s="54">
        <v>1</v>
      </c>
      <c r="K25" s="54">
        <v>177</v>
      </c>
      <c r="L25" s="60">
        <v>4</v>
      </c>
      <c r="M25" s="54">
        <v>25</v>
      </c>
      <c r="N25" s="54">
        <v>4</v>
      </c>
      <c r="O25" s="60">
        <v>1500</v>
      </c>
      <c r="P25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76.800000000000011</v>
      </c>
      <c r="Q25" s="63"/>
      <c r="R25" s="63"/>
      <c r="S25" s="63"/>
      <c r="T25" s="54" t="s">
        <v>201</v>
      </c>
      <c r="U25" s="54" t="s">
        <v>336</v>
      </c>
      <c r="V25" s="54" t="s">
        <v>202</v>
      </c>
      <c r="W25" s="55"/>
      <c r="X25" s="56" t="s">
        <v>203</v>
      </c>
      <c r="Y25" s="69" t="s">
        <v>194</v>
      </c>
      <c r="Z25" s="65" t="s">
        <v>281</v>
      </c>
      <c r="AA25" s="65"/>
      <c r="AB25" s="42">
        <v>3</v>
      </c>
      <c r="AC25" t="s">
        <v>240</v>
      </c>
    </row>
    <row r="26" spans="5:29" hidden="1" x14ac:dyDescent="0.25">
      <c r="E26" s="61">
        <v>55</v>
      </c>
      <c r="F26" s="54">
        <v>120</v>
      </c>
      <c r="G26" s="60">
        <v>1</v>
      </c>
      <c r="H26" s="54">
        <v>4</v>
      </c>
      <c r="I26" s="54">
        <v>200</v>
      </c>
      <c r="J26" s="54">
        <v>1</v>
      </c>
      <c r="K26" s="54">
        <v>177</v>
      </c>
      <c r="L26" s="60">
        <v>4</v>
      </c>
      <c r="M26" s="54">
        <v>30</v>
      </c>
      <c r="N26" s="54">
        <v>3.8</v>
      </c>
      <c r="O26" s="54">
        <v>1500</v>
      </c>
      <c r="P26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73.166666666666657</v>
      </c>
      <c r="Q26" s="63"/>
      <c r="R26" s="63"/>
      <c r="S26" s="63"/>
      <c r="T26" s="54" t="s">
        <v>201</v>
      </c>
      <c r="U26" s="54" t="s">
        <v>336</v>
      </c>
      <c r="V26" s="54" t="s">
        <v>204</v>
      </c>
      <c r="W26" s="55"/>
      <c r="X26" s="56" t="s">
        <v>206</v>
      </c>
      <c r="Y26" s="69" t="s">
        <v>194</v>
      </c>
      <c r="Z26" s="65" t="s">
        <v>281</v>
      </c>
      <c r="AA26" s="65"/>
      <c r="AB26" s="42">
        <v>4</v>
      </c>
      <c r="AC26" t="s">
        <v>242</v>
      </c>
    </row>
    <row r="27" spans="5:29" ht="45" hidden="1" x14ac:dyDescent="0.25">
      <c r="E27" s="77">
        <v>52</v>
      </c>
      <c r="F27" s="74">
        <v>110</v>
      </c>
      <c r="G27" s="77">
        <v>1</v>
      </c>
      <c r="H27" s="74">
        <v>4</v>
      </c>
      <c r="I27" s="74">
        <v>210</v>
      </c>
      <c r="J27" s="74">
        <v>0.5</v>
      </c>
      <c r="K27" s="74">
        <v>186</v>
      </c>
      <c r="L27" s="77">
        <v>4</v>
      </c>
      <c r="M27" s="74">
        <v>30</v>
      </c>
      <c r="N27" s="74">
        <v>3.8</v>
      </c>
      <c r="O27" s="74">
        <v>1500</v>
      </c>
      <c r="P27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70.166666666666671</v>
      </c>
      <c r="Q27" s="63"/>
      <c r="R27" s="63"/>
      <c r="S27" s="63"/>
      <c r="T27" s="54" t="s">
        <v>201</v>
      </c>
      <c r="U27" s="54" t="s">
        <v>336</v>
      </c>
      <c r="V27" s="80" t="s">
        <v>207</v>
      </c>
      <c r="W27" s="2"/>
      <c r="X27" s="75" t="s">
        <v>205</v>
      </c>
      <c r="Y27" s="76" t="s">
        <v>194</v>
      </c>
      <c r="Z27" s="65" t="s">
        <v>281</v>
      </c>
      <c r="AA27" s="65"/>
      <c r="AB27" s="42">
        <v>5</v>
      </c>
      <c r="AC27" t="s">
        <v>243</v>
      </c>
    </row>
    <row r="28" spans="5:29" hidden="1" x14ac:dyDescent="0.25">
      <c r="E28" s="52">
        <v>55</v>
      </c>
      <c r="F28" s="50">
        <v>140</v>
      </c>
      <c r="G28" s="50">
        <v>1</v>
      </c>
      <c r="H28" s="50">
        <v>4</v>
      </c>
      <c r="I28" s="50">
        <v>200</v>
      </c>
      <c r="J28" s="50">
        <v>1</v>
      </c>
      <c r="K28" s="50">
        <v>177</v>
      </c>
      <c r="L28" s="50">
        <v>8</v>
      </c>
      <c r="M28" s="50">
        <v>30</v>
      </c>
      <c r="N28" s="50">
        <v>3.8</v>
      </c>
      <c r="O28" s="50">
        <v>1500</v>
      </c>
      <c r="P28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80.63333333333334</v>
      </c>
      <c r="Q28" s="63"/>
      <c r="R28" s="63"/>
      <c r="S28" s="63"/>
      <c r="T28" s="54" t="s">
        <v>201</v>
      </c>
      <c r="U28" s="54" t="s">
        <v>336</v>
      </c>
      <c r="V28" s="50"/>
      <c r="W28" s="2"/>
      <c r="X28" s="78"/>
      <c r="Y28" s="65" t="s">
        <v>208</v>
      </c>
      <c r="Z28" s="65" t="s">
        <v>281</v>
      </c>
      <c r="AA28" s="65"/>
      <c r="AB28" s="42">
        <v>6</v>
      </c>
      <c r="AC28" t="s">
        <v>244</v>
      </c>
    </row>
    <row r="29" spans="5:29" hidden="1" x14ac:dyDescent="0.25">
      <c r="E29" s="52">
        <v>60</v>
      </c>
      <c r="F29" s="50">
        <v>140</v>
      </c>
      <c r="G29" s="50">
        <v>1</v>
      </c>
      <c r="H29" s="50">
        <v>2</v>
      </c>
      <c r="I29" s="50">
        <v>200</v>
      </c>
      <c r="J29" s="50">
        <v>1</v>
      </c>
      <c r="K29" s="50">
        <v>177</v>
      </c>
      <c r="L29" s="50">
        <v>8</v>
      </c>
      <c r="M29" s="50">
        <v>37.5</v>
      </c>
      <c r="N29" s="50">
        <v>3.8</v>
      </c>
      <c r="O29" s="50">
        <v>1500</v>
      </c>
      <c r="P29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78.72</v>
      </c>
      <c r="Q29" s="79"/>
      <c r="R29" s="79"/>
      <c r="S29" s="79"/>
      <c r="T29" s="54" t="s">
        <v>201</v>
      </c>
      <c r="U29" s="54" t="s">
        <v>336</v>
      </c>
      <c r="V29" s="50" t="s">
        <v>209</v>
      </c>
      <c r="W29" s="2" t="s">
        <v>210</v>
      </c>
      <c r="X29" s="78" t="s">
        <v>211</v>
      </c>
      <c r="Y29" s="65" t="s">
        <v>208</v>
      </c>
      <c r="Z29" s="65" t="s">
        <v>281</v>
      </c>
      <c r="AA29" s="65"/>
      <c r="AB29" s="42">
        <v>7</v>
      </c>
      <c r="AC29" t="s">
        <v>245</v>
      </c>
    </row>
    <row r="30" spans="5:29" hidden="1" x14ac:dyDescent="0.25">
      <c r="E30" s="52">
        <f>(60+50)/2</f>
        <v>55</v>
      </c>
      <c r="F30" s="50">
        <v>100</v>
      </c>
      <c r="G30" s="50">
        <v>0.5</v>
      </c>
      <c r="H30" s="50">
        <v>2.5</v>
      </c>
      <c r="I30" s="50">
        <v>200</v>
      </c>
      <c r="J30" s="50">
        <v>1</v>
      </c>
      <c r="K30" s="50">
        <v>177</v>
      </c>
      <c r="L30" s="50">
        <v>8</v>
      </c>
      <c r="M30" s="50">
        <v>32.5</v>
      </c>
      <c r="N30" s="50">
        <v>3.8</v>
      </c>
      <c r="O30" s="50">
        <v>1500</v>
      </c>
      <c r="P30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77.42307692307692</v>
      </c>
      <c r="Q30" s="79"/>
      <c r="R30" s="79"/>
      <c r="S30" s="79"/>
      <c r="T30" s="50" t="s">
        <v>212</v>
      </c>
      <c r="U30" s="50" t="s">
        <v>336</v>
      </c>
      <c r="V30" s="50"/>
      <c r="W30" s="2"/>
      <c r="X30" s="44"/>
      <c r="Y30" s="65" t="s">
        <v>208</v>
      </c>
      <c r="Z30" s="65" t="s">
        <v>281</v>
      </c>
      <c r="AA30" s="65"/>
      <c r="AB30" s="42">
        <v>8</v>
      </c>
      <c r="AC30" t="s">
        <v>246</v>
      </c>
    </row>
    <row r="31" spans="5:29" hidden="1" x14ac:dyDescent="0.25">
      <c r="E31" s="52">
        <f>(60+50)/2</f>
        <v>55</v>
      </c>
      <c r="F31" s="50">
        <v>150</v>
      </c>
      <c r="G31" s="50">
        <v>2</v>
      </c>
      <c r="H31" s="50">
        <v>4</v>
      </c>
      <c r="I31" s="50">
        <v>200</v>
      </c>
      <c r="J31" s="50">
        <v>1</v>
      </c>
      <c r="K31" s="50">
        <v>177</v>
      </c>
      <c r="L31" s="50">
        <v>8</v>
      </c>
      <c r="M31" s="50">
        <v>32.5</v>
      </c>
      <c r="N31" s="50">
        <v>3.8</v>
      </c>
      <c r="O31" s="50">
        <v>1500</v>
      </c>
      <c r="P31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81.276923076923083</v>
      </c>
      <c r="Q31" s="79"/>
      <c r="R31" s="79"/>
      <c r="S31" s="79"/>
      <c r="T31" s="54" t="s">
        <v>201</v>
      </c>
      <c r="U31" s="54" t="s">
        <v>336</v>
      </c>
      <c r="V31" s="54"/>
      <c r="W31" s="55" t="s">
        <v>213</v>
      </c>
      <c r="X31" s="68"/>
      <c r="Y31" s="65" t="s">
        <v>208</v>
      </c>
      <c r="Z31" s="65" t="s">
        <v>281</v>
      </c>
      <c r="AA31" s="65"/>
      <c r="AB31" s="42">
        <v>9</v>
      </c>
      <c r="AC31" t="s">
        <v>247</v>
      </c>
    </row>
    <row r="32" spans="5:29" hidden="1" x14ac:dyDescent="0.25">
      <c r="E32" s="53">
        <v>55</v>
      </c>
      <c r="F32" s="54">
        <v>120</v>
      </c>
      <c r="G32" s="54">
        <v>4</v>
      </c>
      <c r="H32" s="54">
        <v>2</v>
      </c>
      <c r="I32" s="54">
        <v>210</v>
      </c>
      <c r="J32" s="54">
        <v>1</v>
      </c>
      <c r="K32" s="54">
        <v>186</v>
      </c>
      <c r="L32" s="54">
        <v>8</v>
      </c>
      <c r="M32" s="54">
        <v>32.5</v>
      </c>
      <c r="N32" s="54">
        <v>3.8</v>
      </c>
      <c r="O32" s="54">
        <v>1500</v>
      </c>
      <c r="P32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85.184615384615398</v>
      </c>
      <c r="Q32" s="63"/>
      <c r="R32" s="63"/>
      <c r="S32" s="63"/>
      <c r="T32" s="54" t="s">
        <v>212</v>
      </c>
      <c r="U32" s="54" t="s">
        <v>336</v>
      </c>
      <c r="V32" s="54"/>
      <c r="W32" s="55" t="s">
        <v>214</v>
      </c>
      <c r="X32" s="68"/>
      <c r="Y32" s="65" t="s">
        <v>208</v>
      </c>
      <c r="Z32" s="65" t="s">
        <v>281</v>
      </c>
      <c r="AA32" s="65"/>
    </row>
    <row r="33" spans="5:27" ht="16.5" hidden="1" thickTop="1" thickBot="1" x14ac:dyDescent="0.3">
      <c r="E33" s="84">
        <v>55</v>
      </c>
      <c r="F33" s="83">
        <v>160</v>
      </c>
      <c r="G33" s="83">
        <v>2</v>
      </c>
      <c r="H33" s="83">
        <v>4</v>
      </c>
      <c r="I33" s="83">
        <v>210</v>
      </c>
      <c r="J33" s="83">
        <v>1</v>
      </c>
      <c r="K33" s="83">
        <v>186</v>
      </c>
      <c r="L33" s="83">
        <v>4</v>
      </c>
      <c r="M33" s="83">
        <v>24</v>
      </c>
      <c r="N33" s="83">
        <v>3.8</v>
      </c>
      <c r="O33" s="83">
        <v>1500</v>
      </c>
      <c r="P33" s="85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82.291666666666671</v>
      </c>
      <c r="Q33" s="85"/>
      <c r="R33" s="85"/>
      <c r="S33" s="85"/>
      <c r="T33" s="83" t="s">
        <v>215</v>
      </c>
      <c r="U33" s="107"/>
      <c r="V33" s="30" t="s">
        <v>216</v>
      </c>
      <c r="W33" s="55" t="s">
        <v>217</v>
      </c>
      <c r="X33" s="56" t="s">
        <v>218</v>
      </c>
      <c r="Y33" s="65" t="s">
        <v>208</v>
      </c>
      <c r="Z33" s="65" t="s">
        <v>281</v>
      </c>
      <c r="AA33" s="65"/>
    </row>
    <row r="34" spans="5:27" hidden="1" x14ac:dyDescent="0.25">
      <c r="E34" s="53">
        <v>55</v>
      </c>
      <c r="F34" s="54">
        <v>160</v>
      </c>
      <c r="G34" s="54">
        <v>2</v>
      </c>
      <c r="H34" s="54">
        <v>4</v>
      </c>
      <c r="I34" s="54">
        <v>210</v>
      </c>
      <c r="J34" s="54">
        <v>1</v>
      </c>
      <c r="K34" s="54">
        <v>186</v>
      </c>
      <c r="L34" s="54">
        <v>4</v>
      </c>
      <c r="M34" s="54">
        <v>24</v>
      </c>
      <c r="N34" s="54">
        <v>4</v>
      </c>
      <c r="O34" s="54">
        <v>1500</v>
      </c>
      <c r="P34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82.291666666666671</v>
      </c>
      <c r="Q34" s="63"/>
      <c r="R34" s="63"/>
      <c r="S34" s="63"/>
      <c r="T34" s="54" t="s">
        <v>220</v>
      </c>
      <c r="U34" s="54" t="s">
        <v>336</v>
      </c>
      <c r="V34" s="54" t="s">
        <v>221</v>
      </c>
      <c r="W34" s="55" t="s">
        <v>222</v>
      </c>
      <c r="X34" s="56" t="s">
        <v>219</v>
      </c>
      <c r="Y34" s="65" t="s">
        <v>208</v>
      </c>
      <c r="Z34" s="65" t="s">
        <v>281</v>
      </c>
      <c r="AA34" s="65"/>
    </row>
    <row r="35" spans="5:27" hidden="1" x14ac:dyDescent="0.25">
      <c r="E35" s="53">
        <f>(65+55)/2</f>
        <v>60</v>
      </c>
      <c r="F35" s="54">
        <v>160</v>
      </c>
      <c r="G35" s="54">
        <v>2</v>
      </c>
      <c r="H35" s="54">
        <v>4</v>
      </c>
      <c r="I35" s="54">
        <v>210</v>
      </c>
      <c r="J35" s="54">
        <v>1</v>
      </c>
      <c r="K35" s="54">
        <v>186</v>
      </c>
      <c r="L35" s="54">
        <v>4</v>
      </c>
      <c r="M35" s="54">
        <v>24</v>
      </c>
      <c r="N35" s="54">
        <v>4.2</v>
      </c>
      <c r="O35" s="54">
        <v>1500</v>
      </c>
      <c r="P35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86.25</v>
      </c>
      <c r="Q35" s="63"/>
      <c r="R35" s="63"/>
      <c r="S35" s="63"/>
      <c r="T35" s="54" t="s">
        <v>228</v>
      </c>
      <c r="U35" s="54" t="s">
        <v>336</v>
      </c>
      <c r="V35" s="54"/>
      <c r="W35" s="55" t="s">
        <v>224</v>
      </c>
      <c r="X35" s="56" t="s">
        <v>223</v>
      </c>
      <c r="Y35" s="65" t="s">
        <v>208</v>
      </c>
      <c r="Z35" s="65" t="s">
        <v>281</v>
      </c>
      <c r="AA35" s="65"/>
    </row>
    <row r="36" spans="5:27" hidden="1" x14ac:dyDescent="0.25">
      <c r="E36" s="81">
        <f>(60+50)/2</f>
        <v>55</v>
      </c>
      <c r="F36" s="50">
        <v>160</v>
      </c>
      <c r="G36" s="50">
        <v>2</v>
      </c>
      <c r="H36" s="50">
        <v>4</v>
      </c>
      <c r="I36" s="50">
        <v>200</v>
      </c>
      <c r="J36" s="50">
        <v>1</v>
      </c>
      <c r="K36" s="50">
        <v>177</v>
      </c>
      <c r="L36" s="50">
        <v>4</v>
      </c>
      <c r="M36" s="50">
        <v>24</v>
      </c>
      <c r="N36" s="50">
        <v>4.2</v>
      </c>
      <c r="O36" s="50">
        <v>1500</v>
      </c>
      <c r="P36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80.416666666666671</v>
      </c>
      <c r="Q36" s="63"/>
      <c r="R36" s="63"/>
      <c r="S36" s="63"/>
      <c r="T36" s="50" t="s">
        <v>225</v>
      </c>
      <c r="U36" s="50" t="s">
        <v>336</v>
      </c>
      <c r="V36" s="50" t="s">
        <v>227</v>
      </c>
      <c r="W36" s="2"/>
      <c r="X36" s="78"/>
      <c r="Y36" s="65" t="s">
        <v>208</v>
      </c>
      <c r="Z36" s="65" t="s">
        <v>281</v>
      </c>
      <c r="AA36" s="65"/>
    </row>
    <row r="37" spans="5:27" hidden="1" x14ac:dyDescent="0.25">
      <c r="E37" s="61">
        <f>(70+60)/2</f>
        <v>65</v>
      </c>
      <c r="F37" s="54">
        <v>160</v>
      </c>
      <c r="G37" s="50">
        <v>2</v>
      </c>
      <c r="H37" s="50">
        <v>4</v>
      </c>
      <c r="I37" s="50">
        <v>200</v>
      </c>
      <c r="J37" s="50">
        <v>1</v>
      </c>
      <c r="K37" s="50">
        <v>177</v>
      </c>
      <c r="L37" s="50">
        <v>4</v>
      </c>
      <c r="M37" s="50">
        <v>24</v>
      </c>
      <c r="N37" s="50">
        <v>4.2</v>
      </c>
      <c r="O37" s="54">
        <v>1500</v>
      </c>
      <c r="P37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88.333333333333343</v>
      </c>
      <c r="Q37" s="79"/>
      <c r="R37" s="79"/>
      <c r="S37" s="79"/>
      <c r="T37" s="54" t="s">
        <v>229</v>
      </c>
      <c r="U37" s="54" t="s">
        <v>336</v>
      </c>
      <c r="V37" s="54"/>
      <c r="W37" s="55" t="s">
        <v>230</v>
      </c>
      <c r="X37" s="56"/>
      <c r="Y37" s="65" t="s">
        <v>208</v>
      </c>
      <c r="Z37" s="65" t="s">
        <v>281</v>
      </c>
      <c r="AA37" s="65"/>
    </row>
    <row r="38" spans="5:27" hidden="1" x14ac:dyDescent="0.25">
      <c r="E38" s="81">
        <v>50</v>
      </c>
      <c r="F38" s="50">
        <v>160</v>
      </c>
      <c r="G38" s="50">
        <v>2</v>
      </c>
      <c r="H38" s="82">
        <v>2</v>
      </c>
      <c r="I38" s="82">
        <v>210</v>
      </c>
      <c r="J38" s="50">
        <v>0.5</v>
      </c>
      <c r="K38" s="50">
        <v>186</v>
      </c>
      <c r="L38" s="50">
        <v>4</v>
      </c>
      <c r="M38" s="50">
        <v>24</v>
      </c>
      <c r="N38" s="50">
        <v>4.2</v>
      </c>
      <c r="O38" s="50">
        <v>1500</v>
      </c>
      <c r="P38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74.416666666666671</v>
      </c>
      <c r="Q38" s="63"/>
      <c r="R38" s="63"/>
      <c r="S38" s="63"/>
      <c r="T38" s="54" t="s">
        <v>229</v>
      </c>
      <c r="U38" s="54" t="s">
        <v>336</v>
      </c>
      <c r="V38" s="50"/>
      <c r="W38" s="2"/>
      <c r="X38" s="78" t="s">
        <v>226</v>
      </c>
      <c r="Y38" s="65" t="s">
        <v>208</v>
      </c>
      <c r="Z38" s="65" t="s">
        <v>281</v>
      </c>
      <c r="AA38" s="65"/>
    </row>
    <row r="39" spans="5:27" hidden="1" x14ac:dyDescent="0.25">
      <c r="E39" s="81">
        <v>65</v>
      </c>
      <c r="F39" s="50">
        <v>160</v>
      </c>
      <c r="G39" s="50">
        <v>4</v>
      </c>
      <c r="H39" s="50">
        <v>2</v>
      </c>
      <c r="I39" s="50">
        <v>210</v>
      </c>
      <c r="J39" s="50">
        <v>1</v>
      </c>
      <c r="K39" s="50">
        <v>186</v>
      </c>
      <c r="L39" s="50">
        <v>8</v>
      </c>
      <c r="M39" s="50">
        <v>35</v>
      </c>
      <c r="N39" s="50">
        <v>4.2</v>
      </c>
      <c r="O39" s="50">
        <v>1500</v>
      </c>
      <c r="P39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93.8857142857143</v>
      </c>
      <c r="Q39" s="79"/>
      <c r="R39" s="79"/>
      <c r="S39" s="79"/>
      <c r="T39" s="54" t="s">
        <v>232</v>
      </c>
      <c r="U39" s="54" t="s">
        <v>336</v>
      </c>
      <c r="V39" s="50"/>
      <c r="W39" s="2"/>
      <c r="X39" s="56" t="s">
        <v>231</v>
      </c>
      <c r="Y39" s="65" t="s">
        <v>208</v>
      </c>
      <c r="Z39" s="65" t="s">
        <v>281</v>
      </c>
      <c r="AA39" s="65"/>
    </row>
    <row r="40" spans="5:27" hidden="1" x14ac:dyDescent="0.25">
      <c r="E40" s="81">
        <v>55</v>
      </c>
      <c r="F40" s="50">
        <v>160</v>
      </c>
      <c r="G40" s="50">
        <v>4</v>
      </c>
      <c r="H40" s="50">
        <v>2</v>
      </c>
      <c r="I40" s="50">
        <v>210</v>
      </c>
      <c r="J40" s="50">
        <v>1</v>
      </c>
      <c r="K40" s="50">
        <v>186</v>
      </c>
      <c r="L40" s="50">
        <v>8</v>
      </c>
      <c r="M40" s="50">
        <v>35</v>
      </c>
      <c r="N40" s="50">
        <v>4.2</v>
      </c>
      <c r="O40" s="54">
        <v>1500</v>
      </c>
      <c r="P40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86.45714285714287</v>
      </c>
      <c r="Q40" s="79"/>
      <c r="R40" s="79"/>
      <c r="S40" s="79"/>
      <c r="T40" s="54" t="s">
        <v>233</v>
      </c>
      <c r="U40" s="50" t="s">
        <v>336</v>
      </c>
      <c r="V40" s="54" t="s">
        <v>234</v>
      </c>
      <c r="W40" s="55" t="s">
        <v>235</v>
      </c>
      <c r="X40" s="68"/>
      <c r="Y40" s="65" t="s">
        <v>208</v>
      </c>
      <c r="Z40" s="65" t="s">
        <v>281</v>
      </c>
      <c r="AA40" s="65"/>
    </row>
    <row r="41" spans="5:27" hidden="1" x14ac:dyDescent="0.25">
      <c r="E41" s="52">
        <v>55</v>
      </c>
      <c r="F41" s="50">
        <v>62</v>
      </c>
      <c r="G41" s="50">
        <v>50</v>
      </c>
      <c r="H41" s="50">
        <v>0.5</v>
      </c>
      <c r="I41" s="50">
        <v>210</v>
      </c>
      <c r="J41" s="50">
        <v>1</v>
      </c>
      <c r="K41" s="50">
        <v>186</v>
      </c>
      <c r="L41" s="50">
        <v>4</v>
      </c>
      <c r="M41" s="50">
        <v>25</v>
      </c>
      <c r="N41" s="50">
        <v>4.2</v>
      </c>
      <c r="O41" s="50">
        <v>1500</v>
      </c>
      <c r="P41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85.96</v>
      </c>
      <c r="Q41" s="63"/>
      <c r="R41" s="63"/>
      <c r="S41" s="63"/>
      <c r="T41" s="50"/>
      <c r="U41" s="50" t="s">
        <v>336</v>
      </c>
      <c r="V41" s="50"/>
      <c r="W41" s="2"/>
      <c r="X41" s="44"/>
      <c r="Y41" s="65" t="s">
        <v>208</v>
      </c>
      <c r="Z41" s="65" t="s">
        <v>281</v>
      </c>
      <c r="AA41" s="65"/>
    </row>
    <row r="42" spans="5:27" hidden="1" x14ac:dyDescent="0.25">
      <c r="E42" s="52">
        <v>55</v>
      </c>
      <c r="F42" s="50">
        <v>140</v>
      </c>
      <c r="G42" s="50">
        <v>4</v>
      </c>
      <c r="H42" s="50">
        <v>0.5</v>
      </c>
      <c r="I42" s="50">
        <v>210</v>
      </c>
      <c r="J42" s="50">
        <v>1.5</v>
      </c>
      <c r="K42" s="50">
        <v>186</v>
      </c>
      <c r="L42" s="50">
        <v>8</v>
      </c>
      <c r="M42" s="50">
        <v>24</v>
      </c>
      <c r="N42" s="50">
        <v>4.2</v>
      </c>
      <c r="O42" s="50">
        <v>1500</v>
      </c>
      <c r="P42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99.666666666666671</v>
      </c>
      <c r="Q42" s="63"/>
      <c r="R42" s="63"/>
      <c r="S42" s="63"/>
      <c r="T42" s="50"/>
      <c r="U42" s="50" t="s">
        <v>336</v>
      </c>
      <c r="V42" s="50"/>
      <c r="W42" s="2"/>
      <c r="X42" s="44"/>
      <c r="Y42" s="65" t="s">
        <v>208</v>
      </c>
      <c r="Z42" s="65" t="s">
        <v>281</v>
      </c>
      <c r="AA42" s="65"/>
    </row>
    <row r="43" spans="5:27" hidden="1" x14ac:dyDescent="0.25">
      <c r="E43" s="52">
        <v>62</v>
      </c>
      <c r="F43" s="50">
        <v>140</v>
      </c>
      <c r="G43" s="50">
        <v>4</v>
      </c>
      <c r="H43" s="50">
        <v>0.5</v>
      </c>
      <c r="I43" s="50">
        <v>210</v>
      </c>
      <c r="J43" s="50">
        <v>1.2</v>
      </c>
      <c r="K43" s="50">
        <v>186</v>
      </c>
      <c r="L43" s="50">
        <v>8</v>
      </c>
      <c r="M43" s="50">
        <v>24</v>
      </c>
      <c r="N43" s="50">
        <v>4.2</v>
      </c>
      <c r="O43" s="50">
        <v>1500</v>
      </c>
      <c r="P43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102.34583333333335</v>
      </c>
      <c r="Q43" s="79"/>
      <c r="R43" s="79"/>
      <c r="S43" s="79"/>
      <c r="T43" s="50" t="s">
        <v>236</v>
      </c>
      <c r="U43" s="50" t="s">
        <v>336</v>
      </c>
      <c r="V43" s="50"/>
      <c r="W43" s="2"/>
      <c r="X43" s="44"/>
      <c r="Y43" s="65" t="s">
        <v>208</v>
      </c>
      <c r="Z43" s="65" t="s">
        <v>281</v>
      </c>
      <c r="AA43" s="65"/>
    </row>
    <row r="44" spans="5:27" hidden="1" x14ac:dyDescent="0.25">
      <c r="E44" s="52">
        <v>62</v>
      </c>
      <c r="F44" s="50">
        <v>180</v>
      </c>
      <c r="G44" s="50">
        <v>4</v>
      </c>
      <c r="H44" s="50">
        <v>2</v>
      </c>
      <c r="I44" s="50">
        <v>210</v>
      </c>
      <c r="J44" s="50">
        <v>1.2</v>
      </c>
      <c r="K44" s="50">
        <v>186</v>
      </c>
      <c r="L44" s="50">
        <v>8</v>
      </c>
      <c r="M44" s="50">
        <v>35</v>
      </c>
      <c r="N44" s="50">
        <v>4.2</v>
      </c>
      <c r="O44" s="50">
        <v>1500</v>
      </c>
      <c r="P44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94.080000000000013</v>
      </c>
      <c r="Q44" s="79"/>
      <c r="R44" s="79"/>
      <c r="S44" s="79"/>
      <c r="T44" s="50" t="s">
        <v>233</v>
      </c>
      <c r="U44" s="50" t="s">
        <v>336</v>
      </c>
      <c r="V44" s="50"/>
      <c r="W44" s="2"/>
      <c r="X44" s="78" t="s">
        <v>241</v>
      </c>
      <c r="Y44" s="65" t="s">
        <v>208</v>
      </c>
      <c r="Z44" s="65" t="s">
        <v>281</v>
      </c>
      <c r="AA44" s="65"/>
    </row>
    <row r="45" spans="5:27" ht="15.75" thickBot="1" x14ac:dyDescent="0.3">
      <c r="E45" s="81">
        <v>65</v>
      </c>
      <c r="F45" s="82">
        <v>140</v>
      </c>
      <c r="G45" s="87">
        <v>1.5</v>
      </c>
      <c r="H45" s="87">
        <v>6</v>
      </c>
      <c r="I45" s="87">
        <v>205</v>
      </c>
      <c r="J45" s="87">
        <v>1.6</v>
      </c>
      <c r="K45" s="87">
        <v>184</v>
      </c>
      <c r="L45" s="87">
        <v>4</v>
      </c>
      <c r="M45" s="87">
        <v>50</v>
      </c>
      <c r="N45" s="87">
        <v>4</v>
      </c>
      <c r="O45" s="87">
        <v>1700</v>
      </c>
      <c r="P45" s="88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78.458000000000013</v>
      </c>
      <c r="Q45" s="88">
        <v>12.5</v>
      </c>
      <c r="R45" s="88">
        <v>4</v>
      </c>
      <c r="S45" s="88">
        <v>46</v>
      </c>
      <c r="T45" s="87" t="s">
        <v>215</v>
      </c>
      <c r="U45" s="87" t="s">
        <v>337</v>
      </c>
      <c r="V45" s="109" t="s">
        <v>283</v>
      </c>
      <c r="W45" s="2"/>
      <c r="X45" s="78" t="s">
        <v>291</v>
      </c>
      <c r="Y45" s="65" t="s">
        <v>269</v>
      </c>
      <c r="Z45" s="65" t="s">
        <v>281</v>
      </c>
      <c r="AA45" s="65">
        <f>Table1[[#This Row],[I_Step-1]]-(Table1[[#This Row],[I_Valley_Set]]-(Table1[[#This Row],[I_Ramp-Down '[A']]]/2))</f>
        <v>77</v>
      </c>
    </row>
    <row r="46" spans="5:27" ht="15.75" hidden="1" thickBot="1" x14ac:dyDescent="0.3">
      <c r="E46" s="52">
        <v>65</v>
      </c>
      <c r="F46" s="50">
        <v>140</v>
      </c>
      <c r="G46" s="50">
        <v>1.5</v>
      </c>
      <c r="H46" s="50">
        <v>6</v>
      </c>
      <c r="I46" s="50">
        <v>215</v>
      </c>
      <c r="J46" s="50">
        <v>1.6</v>
      </c>
      <c r="K46" s="50">
        <v>190</v>
      </c>
      <c r="L46" s="50">
        <v>4</v>
      </c>
      <c r="M46" s="50">
        <v>26</v>
      </c>
      <c r="N46" s="50">
        <v>4.2</v>
      </c>
      <c r="O46" s="50">
        <v>1500</v>
      </c>
      <c r="P46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92.40384615384616</v>
      </c>
      <c r="Q46" s="79">
        <v>5</v>
      </c>
      <c r="R46" s="79"/>
      <c r="S46" s="79"/>
      <c r="T46" s="50" t="s">
        <v>248</v>
      </c>
      <c r="U46" s="50" t="s">
        <v>336</v>
      </c>
      <c r="V46" s="50"/>
      <c r="W46" s="2"/>
      <c r="X46" s="44"/>
      <c r="Y46" s="65" t="s">
        <v>208</v>
      </c>
      <c r="Z46" s="65" t="s">
        <v>281</v>
      </c>
      <c r="AA46" s="65"/>
    </row>
    <row r="47" spans="5:27" ht="16.5" hidden="1" thickTop="1" thickBot="1" x14ac:dyDescent="0.3">
      <c r="E47" s="52">
        <v>55</v>
      </c>
      <c r="F47" s="50">
        <v>120</v>
      </c>
      <c r="G47" s="50">
        <v>1</v>
      </c>
      <c r="H47" s="50">
        <v>4</v>
      </c>
      <c r="I47" s="50">
        <v>200</v>
      </c>
      <c r="J47" s="50">
        <v>1</v>
      </c>
      <c r="K47" s="50">
        <v>177</v>
      </c>
      <c r="L47" s="50">
        <v>4</v>
      </c>
      <c r="M47" s="50">
        <v>20</v>
      </c>
      <c r="N47" s="82">
        <v>4.2</v>
      </c>
      <c r="O47" s="50">
        <v>1500</v>
      </c>
      <c r="P47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82.25</v>
      </c>
      <c r="Q47" s="79"/>
      <c r="R47" s="79">
        <v>0</v>
      </c>
      <c r="S47" s="79"/>
      <c r="T47" s="50" t="s">
        <v>164</v>
      </c>
      <c r="U47" s="69" t="s">
        <v>337</v>
      </c>
      <c r="V47" s="110"/>
      <c r="W47" s="2"/>
      <c r="X47" s="78" t="s">
        <v>174</v>
      </c>
      <c r="Y47" s="65"/>
      <c r="Z47" s="65" t="s">
        <v>281</v>
      </c>
      <c r="AA47" s="65">
        <f>Table1[[#This Row],[I_Step-1]]-(Table1[[#This Row],[I_Valley_Set]]-(Table1[[#This Row],[I_Ramp-Down '[A']]]/2))</f>
        <v>65</v>
      </c>
    </row>
    <row r="48" spans="5:27" ht="45.75" hidden="1" thickBot="1" x14ac:dyDescent="0.3">
      <c r="E48" s="52">
        <v>70</v>
      </c>
      <c r="F48" s="50">
        <v>160</v>
      </c>
      <c r="G48" s="50">
        <v>1.5</v>
      </c>
      <c r="H48" s="50">
        <v>6</v>
      </c>
      <c r="I48" s="50">
        <v>210</v>
      </c>
      <c r="J48" s="50">
        <v>1.6</v>
      </c>
      <c r="K48" s="50">
        <v>190</v>
      </c>
      <c r="L48" s="50">
        <v>4</v>
      </c>
      <c r="M48" s="50">
        <v>26</v>
      </c>
      <c r="N48" s="82">
        <v>4.4000000000000004</v>
      </c>
      <c r="O48" s="50">
        <v>1500</v>
      </c>
      <c r="P48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95.269230769230774</v>
      </c>
      <c r="Q48" s="79">
        <v>5</v>
      </c>
      <c r="R48" s="79"/>
      <c r="S48" s="79"/>
      <c r="T48" s="50" t="s">
        <v>250</v>
      </c>
      <c r="U48" s="50" t="s">
        <v>336</v>
      </c>
      <c r="V48" s="50" t="s">
        <v>251</v>
      </c>
      <c r="W48" s="49" t="s">
        <v>252</v>
      </c>
      <c r="X48" s="78" t="s">
        <v>253</v>
      </c>
      <c r="Y48" s="65" t="s">
        <v>208</v>
      </c>
      <c r="Z48" s="65" t="s">
        <v>281</v>
      </c>
      <c r="AA48" s="65"/>
    </row>
    <row r="49" spans="1:27" ht="16.5" hidden="1" thickTop="1" thickBot="1" x14ac:dyDescent="0.3">
      <c r="E49" s="81">
        <v>70</v>
      </c>
      <c r="F49" s="82">
        <v>160</v>
      </c>
      <c r="G49" s="87">
        <v>1.5</v>
      </c>
      <c r="H49" s="87">
        <v>6</v>
      </c>
      <c r="I49" s="87">
        <v>210</v>
      </c>
      <c r="J49" s="87">
        <v>1.6</v>
      </c>
      <c r="K49" s="87">
        <v>190</v>
      </c>
      <c r="L49" s="87">
        <v>4</v>
      </c>
      <c r="M49" s="87">
        <v>26</v>
      </c>
      <c r="N49" s="87">
        <v>4.2</v>
      </c>
      <c r="O49" s="87">
        <v>1500</v>
      </c>
      <c r="P49" s="88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95.269230769230774</v>
      </c>
      <c r="Q49" s="88">
        <v>5</v>
      </c>
      <c r="R49" s="88">
        <v>0</v>
      </c>
      <c r="S49" s="88"/>
      <c r="T49" s="87" t="s">
        <v>215</v>
      </c>
      <c r="U49" s="107" t="s">
        <v>337</v>
      </c>
      <c r="V49" s="30" t="s">
        <v>216</v>
      </c>
      <c r="W49" s="2"/>
      <c r="X49" s="78" t="s">
        <v>249</v>
      </c>
      <c r="Y49" s="65" t="s">
        <v>208</v>
      </c>
      <c r="Z49" s="65" t="s">
        <v>281</v>
      </c>
      <c r="AA49" s="65">
        <f>Table1[[#This Row],[I_Step-1]]-(Table1[[#This Row],[I_Valley_Set]]-(Table1[[#This Row],[I_Ramp-Down '[A']]]/2))</f>
        <v>90</v>
      </c>
    </row>
    <row r="50" spans="1:27" ht="15.75" hidden="1" thickBot="1" x14ac:dyDescent="0.3">
      <c r="B50" t="s">
        <v>304</v>
      </c>
      <c r="C50" t="s">
        <v>305</v>
      </c>
      <c r="E50" s="52">
        <v>70</v>
      </c>
      <c r="F50" s="50">
        <v>160</v>
      </c>
      <c r="G50" s="50">
        <v>1.5</v>
      </c>
      <c r="H50" s="50">
        <v>6</v>
      </c>
      <c r="I50" s="50">
        <v>210</v>
      </c>
      <c r="J50" s="50">
        <v>1.6</v>
      </c>
      <c r="K50" s="50">
        <v>190</v>
      </c>
      <c r="L50" s="50">
        <v>4</v>
      </c>
      <c r="M50" s="50">
        <v>26</v>
      </c>
      <c r="N50" s="50">
        <v>4.5999999999999996</v>
      </c>
      <c r="O50" s="50">
        <v>1700</v>
      </c>
      <c r="P50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95.269230769230774</v>
      </c>
      <c r="Q50" s="79">
        <v>5</v>
      </c>
      <c r="R50" s="79"/>
      <c r="S50" s="79"/>
      <c r="T50" s="50" t="s">
        <v>259</v>
      </c>
      <c r="U50" s="50" t="s">
        <v>336</v>
      </c>
      <c r="V50" s="50" t="s">
        <v>258</v>
      </c>
      <c r="W50" s="2"/>
      <c r="X50" s="78" t="s">
        <v>257</v>
      </c>
      <c r="Y50" s="65" t="s">
        <v>208</v>
      </c>
      <c r="Z50" s="65" t="s">
        <v>281</v>
      </c>
      <c r="AA50" s="65"/>
    </row>
    <row r="51" spans="1:27" ht="15.75" hidden="1" thickBot="1" x14ac:dyDescent="0.3">
      <c r="E51" s="86">
        <v>70</v>
      </c>
      <c r="F51" s="87">
        <v>160</v>
      </c>
      <c r="G51" s="87">
        <v>1.5</v>
      </c>
      <c r="H51" s="87">
        <v>6</v>
      </c>
      <c r="I51" s="87">
        <v>210</v>
      </c>
      <c r="J51" s="87">
        <v>1.6</v>
      </c>
      <c r="K51" s="87">
        <v>190</v>
      </c>
      <c r="L51" s="87">
        <v>4</v>
      </c>
      <c r="M51" s="87">
        <v>26</v>
      </c>
      <c r="N51" s="87">
        <v>4.4000000000000004</v>
      </c>
      <c r="O51" s="87">
        <v>1700</v>
      </c>
      <c r="P51" s="88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95.269230769230774</v>
      </c>
      <c r="Q51" s="88">
        <v>5</v>
      </c>
      <c r="R51" s="108">
        <v>0</v>
      </c>
      <c r="S51" s="108"/>
      <c r="T51" s="107" t="s">
        <v>215</v>
      </c>
      <c r="U51" s="107" t="s">
        <v>337</v>
      </c>
      <c r="V51" s="109" t="s">
        <v>255</v>
      </c>
      <c r="W51" s="2"/>
      <c r="X51" s="78" t="s">
        <v>254</v>
      </c>
      <c r="Y51" s="65" t="s">
        <v>208</v>
      </c>
      <c r="Z51" s="65" t="s">
        <v>281</v>
      </c>
      <c r="AA51" s="65">
        <f>Table1[[#This Row],[I_Step-1]]-(Table1[[#This Row],[I_Valley_Set]]-(Table1[[#This Row],[I_Ramp-Down '[A']]]/2))</f>
        <v>90</v>
      </c>
    </row>
    <row r="52" spans="1:27" ht="16.5" hidden="1" thickTop="1" thickBot="1" x14ac:dyDescent="0.3">
      <c r="E52" s="86">
        <v>70</v>
      </c>
      <c r="F52" s="87">
        <v>160</v>
      </c>
      <c r="G52" s="87">
        <v>1.5</v>
      </c>
      <c r="H52" s="87">
        <v>6</v>
      </c>
      <c r="I52" s="87">
        <v>210</v>
      </c>
      <c r="J52" s="87">
        <v>1.6</v>
      </c>
      <c r="K52" s="87">
        <v>190</v>
      </c>
      <c r="L52" s="87">
        <v>4</v>
      </c>
      <c r="M52" s="87">
        <v>26</v>
      </c>
      <c r="N52" s="87">
        <v>4.5999999999999996</v>
      </c>
      <c r="O52" s="87">
        <v>1700</v>
      </c>
      <c r="P52" s="88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95.269230769230774</v>
      </c>
      <c r="Q52" s="90">
        <v>10</v>
      </c>
      <c r="R52" s="90">
        <v>0</v>
      </c>
      <c r="S52" s="90"/>
      <c r="T52" s="2" t="s">
        <v>215</v>
      </c>
      <c r="U52" t="s">
        <v>337</v>
      </c>
      <c r="V52" s="110" t="s">
        <v>258</v>
      </c>
      <c r="W52" s="2" t="s">
        <v>260</v>
      </c>
      <c r="X52" s="78" t="s">
        <v>261</v>
      </c>
      <c r="Y52" s="65" t="s">
        <v>208</v>
      </c>
      <c r="Z52" s="65" t="s">
        <v>281</v>
      </c>
      <c r="AA52" s="65">
        <f>Table1[[#This Row],[I_Step-1]]-(Table1[[#This Row],[I_Valley_Set]]-(Table1[[#This Row],[I_Ramp-Down '[A']]]/2))</f>
        <v>90</v>
      </c>
    </row>
    <row r="53" spans="1:27" ht="16.5" hidden="1" thickTop="1" thickBot="1" x14ac:dyDescent="0.3">
      <c r="E53" s="93">
        <v>75</v>
      </c>
      <c r="F53" s="94">
        <v>160</v>
      </c>
      <c r="G53" s="94">
        <v>1.5</v>
      </c>
      <c r="H53" s="94">
        <v>6</v>
      </c>
      <c r="I53" s="94">
        <v>210</v>
      </c>
      <c r="J53" s="94">
        <v>1.6</v>
      </c>
      <c r="K53" s="94">
        <v>190</v>
      </c>
      <c r="L53" s="94">
        <v>4</v>
      </c>
      <c r="M53" s="94">
        <v>26</v>
      </c>
      <c r="N53" s="95">
        <v>3.8</v>
      </c>
      <c r="O53" s="94">
        <v>1700</v>
      </c>
      <c r="P53" s="96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99.288461538461547</v>
      </c>
      <c r="Q53" s="90">
        <v>10</v>
      </c>
      <c r="R53" s="90"/>
      <c r="S53" s="90"/>
      <c r="T53" s="50" t="s">
        <v>264</v>
      </c>
      <c r="U53" s="69" t="s">
        <v>336</v>
      </c>
      <c r="V53" s="30" t="s">
        <v>216</v>
      </c>
      <c r="W53" s="2"/>
      <c r="X53" s="44"/>
      <c r="Y53" s="65"/>
      <c r="Z53" s="65" t="s">
        <v>281</v>
      </c>
      <c r="AA53" s="65"/>
    </row>
    <row r="54" spans="1:27" ht="16.5" hidden="1" thickTop="1" thickBot="1" x14ac:dyDescent="0.3">
      <c r="E54" s="91">
        <v>75</v>
      </c>
      <c r="F54" s="87">
        <v>160</v>
      </c>
      <c r="G54" s="87">
        <v>1.5</v>
      </c>
      <c r="H54" s="87">
        <v>6</v>
      </c>
      <c r="I54" s="87">
        <v>210</v>
      </c>
      <c r="J54" s="87">
        <v>1.6</v>
      </c>
      <c r="K54" s="87">
        <v>190</v>
      </c>
      <c r="L54" s="87">
        <v>4</v>
      </c>
      <c r="M54" s="87">
        <v>26</v>
      </c>
      <c r="N54" s="87">
        <v>4.5999999999999996</v>
      </c>
      <c r="O54" s="87">
        <v>1700</v>
      </c>
      <c r="P54" s="88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99.288461538461547</v>
      </c>
      <c r="Q54" s="90">
        <v>10</v>
      </c>
      <c r="R54" s="90">
        <v>0</v>
      </c>
      <c r="S54" s="90"/>
      <c r="T54" s="87" t="s">
        <v>262</v>
      </c>
      <c r="U54" s="107" t="s">
        <v>337</v>
      </c>
      <c r="V54" s="30" t="s">
        <v>216</v>
      </c>
      <c r="W54" s="2"/>
      <c r="X54" s="78" t="s">
        <v>263</v>
      </c>
      <c r="Y54" s="65" t="s">
        <v>208</v>
      </c>
      <c r="Z54" s="65" t="s">
        <v>281</v>
      </c>
      <c r="AA54" s="65">
        <f>Table1[[#This Row],[I_Step-1]]-(Table1[[#This Row],[I_Valley_Set]]-(Table1[[#This Row],[I_Ramp-Down '[A']]]/2))</f>
        <v>85</v>
      </c>
    </row>
    <row r="55" spans="1:27" ht="45.75" hidden="1" thickBot="1" x14ac:dyDescent="0.3">
      <c r="E55" s="93">
        <v>75</v>
      </c>
      <c r="F55" s="94">
        <v>160</v>
      </c>
      <c r="G55" s="94">
        <v>1.5</v>
      </c>
      <c r="H55" s="94">
        <v>6</v>
      </c>
      <c r="I55" s="94">
        <v>210</v>
      </c>
      <c r="J55" s="94">
        <v>1.6</v>
      </c>
      <c r="K55" s="94">
        <v>190</v>
      </c>
      <c r="L55" s="94">
        <v>4</v>
      </c>
      <c r="M55" s="94">
        <v>32.5</v>
      </c>
      <c r="N55" s="50">
        <v>5</v>
      </c>
      <c r="O55" s="50">
        <v>1700</v>
      </c>
      <c r="P55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94.430769230769229</v>
      </c>
      <c r="Q55" s="79">
        <v>10</v>
      </c>
      <c r="R55" s="79"/>
      <c r="S55" s="79"/>
      <c r="T55" s="50" t="s">
        <v>270</v>
      </c>
      <c r="U55" s="50" t="s">
        <v>336</v>
      </c>
      <c r="V55" s="50"/>
      <c r="W55" s="49" t="s">
        <v>271</v>
      </c>
      <c r="X55" s="78" t="s">
        <v>272</v>
      </c>
      <c r="Y55" s="65" t="s">
        <v>269</v>
      </c>
      <c r="Z55" s="65" t="s">
        <v>281</v>
      </c>
      <c r="AA55" s="65"/>
    </row>
    <row r="56" spans="1:27" ht="15.75" hidden="1" thickBot="1" x14ac:dyDescent="0.3">
      <c r="E56" s="93">
        <v>75</v>
      </c>
      <c r="F56" s="94">
        <v>160</v>
      </c>
      <c r="G56" s="94">
        <v>1.5</v>
      </c>
      <c r="H56" s="94">
        <v>6</v>
      </c>
      <c r="I56" s="94">
        <v>210</v>
      </c>
      <c r="J56" s="94">
        <v>1.6</v>
      </c>
      <c r="K56" s="94">
        <v>190</v>
      </c>
      <c r="L56" s="94">
        <v>4</v>
      </c>
      <c r="M56" s="94">
        <v>32.5</v>
      </c>
      <c r="N56" s="50">
        <v>5</v>
      </c>
      <c r="O56" s="50">
        <v>1700</v>
      </c>
      <c r="P56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94.430769230769229</v>
      </c>
      <c r="Q56" s="90">
        <f>50*250/1000</f>
        <v>12.5</v>
      </c>
      <c r="R56" s="90"/>
      <c r="S56" s="90"/>
      <c r="T56" s="50" t="s">
        <v>273</v>
      </c>
      <c r="U56" s="50" t="s">
        <v>336</v>
      </c>
      <c r="V56" s="50" t="s">
        <v>274</v>
      </c>
      <c r="W56" s="2" t="s">
        <v>276</v>
      </c>
      <c r="X56" s="78" t="s">
        <v>275</v>
      </c>
      <c r="Y56" s="65" t="s">
        <v>269</v>
      </c>
      <c r="Z56" s="65" t="s">
        <v>281</v>
      </c>
      <c r="AA56" s="65"/>
    </row>
    <row r="57" spans="1:27" ht="15.75" hidden="1" thickBot="1" x14ac:dyDescent="0.3">
      <c r="E57" s="93">
        <v>75</v>
      </c>
      <c r="F57" s="94">
        <v>160</v>
      </c>
      <c r="G57" s="94">
        <v>1.5</v>
      </c>
      <c r="H57" s="94">
        <v>6</v>
      </c>
      <c r="I57" s="94">
        <v>210</v>
      </c>
      <c r="J57" s="94">
        <v>1.6</v>
      </c>
      <c r="K57" s="94">
        <v>190</v>
      </c>
      <c r="L57" s="94">
        <v>4</v>
      </c>
      <c r="M57" s="94">
        <v>32.5</v>
      </c>
      <c r="N57" s="50">
        <v>5</v>
      </c>
      <c r="O57" s="50">
        <v>1700</v>
      </c>
      <c r="P57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94.430769230769229</v>
      </c>
      <c r="Q57" s="79">
        <v>12.5</v>
      </c>
      <c r="R57" s="79">
        <v>4</v>
      </c>
      <c r="S57" s="79"/>
      <c r="T57" s="50" t="s">
        <v>270</v>
      </c>
      <c r="U57" s="50" t="s">
        <v>336</v>
      </c>
      <c r="V57" s="50"/>
      <c r="W57" s="2"/>
      <c r="X57" s="44"/>
      <c r="Y57" s="65" t="s">
        <v>269</v>
      </c>
      <c r="Z57" s="65" t="s">
        <v>281</v>
      </c>
      <c r="AA57" s="65"/>
    </row>
    <row r="58" spans="1:27" ht="15.75" hidden="1" thickBot="1" x14ac:dyDescent="0.3">
      <c r="E58" s="93">
        <v>75</v>
      </c>
      <c r="F58" s="94">
        <v>160</v>
      </c>
      <c r="G58" s="94">
        <v>1.5</v>
      </c>
      <c r="H58" s="94">
        <v>6</v>
      </c>
      <c r="I58" s="94">
        <v>210</v>
      </c>
      <c r="J58" s="94">
        <v>1.6</v>
      </c>
      <c r="K58" s="94">
        <v>190</v>
      </c>
      <c r="L58" s="94">
        <v>4</v>
      </c>
      <c r="M58" s="50">
        <v>37.5</v>
      </c>
      <c r="N58" s="50">
        <v>5</v>
      </c>
      <c r="O58" s="50">
        <v>1700</v>
      </c>
      <c r="P58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91.840000000000018</v>
      </c>
      <c r="Q58" s="79">
        <v>10</v>
      </c>
      <c r="R58" s="79">
        <v>4</v>
      </c>
      <c r="S58" s="79"/>
      <c r="T58" s="50" t="s">
        <v>270</v>
      </c>
      <c r="U58" s="50" t="s">
        <v>336</v>
      </c>
      <c r="V58" s="50" t="s">
        <v>274</v>
      </c>
      <c r="W58" s="2" t="s">
        <v>277</v>
      </c>
      <c r="X58" s="78" t="s">
        <v>278</v>
      </c>
      <c r="Y58" s="65" t="s">
        <v>269</v>
      </c>
      <c r="Z58" s="65" t="s">
        <v>281</v>
      </c>
      <c r="AA58" s="65"/>
    </row>
    <row r="59" spans="1:27" ht="16.5" hidden="1" thickTop="1" thickBot="1" x14ac:dyDescent="0.3">
      <c r="E59" s="86">
        <v>75</v>
      </c>
      <c r="F59" s="87">
        <v>160</v>
      </c>
      <c r="G59" s="87">
        <v>1.5</v>
      </c>
      <c r="H59" s="87">
        <v>6</v>
      </c>
      <c r="I59" s="87">
        <v>210</v>
      </c>
      <c r="J59" s="87">
        <v>1.6</v>
      </c>
      <c r="K59" s="87">
        <v>190</v>
      </c>
      <c r="L59" s="87">
        <v>4</v>
      </c>
      <c r="M59" s="87">
        <v>32.5</v>
      </c>
      <c r="N59" s="82">
        <v>4.8</v>
      </c>
      <c r="O59" s="50">
        <v>1700</v>
      </c>
      <c r="P59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94.430769230769229</v>
      </c>
      <c r="Q59" s="90">
        <v>10</v>
      </c>
      <c r="R59" s="90">
        <v>0</v>
      </c>
      <c r="S59" s="90"/>
      <c r="T59" s="87" t="s">
        <v>215</v>
      </c>
      <c r="U59" s="107" t="s">
        <v>337</v>
      </c>
      <c r="V59" s="30" t="s">
        <v>216</v>
      </c>
      <c r="W59" s="2"/>
      <c r="X59" s="78" t="s">
        <v>268</v>
      </c>
      <c r="Y59" s="65" t="s">
        <v>269</v>
      </c>
      <c r="Z59" s="65" t="s">
        <v>281</v>
      </c>
      <c r="AA59" s="65">
        <f>Table1[[#This Row],[I_Step-1]]-(Table1[[#This Row],[I_Valley_Set]]-(Table1[[#This Row],[I_Ramp-Down '[A']]]/2))</f>
        <v>85</v>
      </c>
    </row>
    <row r="60" spans="1:27" ht="16.5" hidden="1" thickTop="1" thickBot="1" x14ac:dyDescent="0.3">
      <c r="E60" s="86">
        <v>80</v>
      </c>
      <c r="F60" s="87">
        <v>160</v>
      </c>
      <c r="G60" s="87">
        <v>1.5</v>
      </c>
      <c r="H60" s="87">
        <v>6</v>
      </c>
      <c r="I60" s="87">
        <v>208</v>
      </c>
      <c r="J60" s="87">
        <v>1.6</v>
      </c>
      <c r="K60" s="87">
        <v>184</v>
      </c>
      <c r="L60" s="87">
        <v>4</v>
      </c>
      <c r="M60" s="87">
        <v>37.5</v>
      </c>
      <c r="N60" s="87">
        <v>5</v>
      </c>
      <c r="O60" s="87">
        <v>1700</v>
      </c>
      <c r="P60" s="88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95.103999999999999</v>
      </c>
      <c r="Q60" s="79">
        <v>10</v>
      </c>
      <c r="R60" s="88">
        <v>4</v>
      </c>
      <c r="S60" s="88">
        <v>59.3</v>
      </c>
      <c r="T60" s="87" t="s">
        <v>215</v>
      </c>
      <c r="U60" s="107" t="s">
        <v>337</v>
      </c>
      <c r="V60" s="30" t="s">
        <v>216</v>
      </c>
      <c r="W60" s="2" t="s">
        <v>282</v>
      </c>
      <c r="X60" s="78" t="s">
        <v>279</v>
      </c>
      <c r="Y60" s="65" t="s">
        <v>269</v>
      </c>
      <c r="Z60" s="65" t="s">
        <v>281</v>
      </c>
      <c r="AA60" s="65">
        <f>Table1[[#This Row],[I_Step-1]]-(Table1[[#This Row],[I_Valley_Set]]-(Table1[[#This Row],[I_Ramp-Down '[A']]]/2))</f>
        <v>82</v>
      </c>
    </row>
    <row r="61" spans="1:27" ht="16.5" hidden="1" thickTop="1" thickBot="1" x14ac:dyDescent="0.3">
      <c r="E61" s="81">
        <v>80</v>
      </c>
      <c r="F61" s="94">
        <v>160</v>
      </c>
      <c r="G61" s="94">
        <v>1.5</v>
      </c>
      <c r="H61" s="94">
        <v>6</v>
      </c>
      <c r="I61" s="82">
        <v>205</v>
      </c>
      <c r="J61" s="50">
        <v>1.6</v>
      </c>
      <c r="K61" s="50">
        <v>184</v>
      </c>
      <c r="L61" s="50">
        <v>4</v>
      </c>
      <c r="M61" s="50">
        <v>50</v>
      </c>
      <c r="N61" s="50">
        <v>5</v>
      </c>
      <c r="O61" s="50">
        <v>1700</v>
      </c>
      <c r="P61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91.328000000000003</v>
      </c>
      <c r="Q61" s="79">
        <f>250*50/1000</f>
        <v>12.5</v>
      </c>
      <c r="R61" s="79">
        <v>8</v>
      </c>
      <c r="S61" s="79">
        <v>57</v>
      </c>
      <c r="T61" s="50" t="s">
        <v>287</v>
      </c>
      <c r="U61" s="69" t="s">
        <v>336</v>
      </c>
      <c r="V61" s="30" t="s">
        <v>288</v>
      </c>
      <c r="W61" s="2" t="s">
        <v>289</v>
      </c>
      <c r="X61" s="78" t="s">
        <v>286</v>
      </c>
      <c r="Y61" s="65" t="s">
        <v>269</v>
      </c>
      <c r="Z61" s="65" t="s">
        <v>281</v>
      </c>
      <c r="AA61" s="65"/>
    </row>
    <row r="62" spans="1:27" ht="16.5" thickTop="1" thickBot="1" x14ac:dyDescent="0.3">
      <c r="A62" s="74" t="s">
        <v>290</v>
      </c>
      <c r="E62" s="86">
        <v>80</v>
      </c>
      <c r="F62" s="87">
        <v>160</v>
      </c>
      <c r="G62" s="87">
        <v>1.5</v>
      </c>
      <c r="H62" s="87">
        <v>6</v>
      </c>
      <c r="I62" s="87">
        <v>205</v>
      </c>
      <c r="J62" s="87">
        <v>1.6</v>
      </c>
      <c r="K62" s="87">
        <v>184</v>
      </c>
      <c r="L62" s="87">
        <v>4</v>
      </c>
      <c r="M62" s="87">
        <v>50</v>
      </c>
      <c r="N62" s="87">
        <v>5</v>
      </c>
      <c r="O62" s="87">
        <v>1700</v>
      </c>
      <c r="P62" s="88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91.328000000000003</v>
      </c>
      <c r="Q62" s="79">
        <f>250*50/1000</f>
        <v>12.5</v>
      </c>
      <c r="R62" s="88">
        <v>4</v>
      </c>
      <c r="S62" s="88">
        <v>59</v>
      </c>
      <c r="T62" s="87" t="s">
        <v>215</v>
      </c>
      <c r="U62" s="107" t="s">
        <v>337</v>
      </c>
      <c r="V62" s="30" t="s">
        <v>283</v>
      </c>
      <c r="W62" s="2" t="s">
        <v>284</v>
      </c>
      <c r="X62" s="78" t="s">
        <v>285</v>
      </c>
      <c r="Y62" s="65" t="s">
        <v>269</v>
      </c>
      <c r="Z62" s="65" t="s">
        <v>281</v>
      </c>
      <c r="AA62" s="65">
        <f>Table1[[#This Row],[I_Step-1]]-(Table1[[#This Row],[I_Valley_Set]]-(Table1[[#This Row],[I_Ramp-Down '[A']]]/2))</f>
        <v>82</v>
      </c>
    </row>
    <row r="63" spans="1:27" ht="16.5" hidden="1" thickTop="1" thickBot="1" x14ac:dyDescent="0.3">
      <c r="E63" s="86">
        <v>80</v>
      </c>
      <c r="F63" s="87">
        <v>160</v>
      </c>
      <c r="G63" s="87">
        <v>1.5</v>
      </c>
      <c r="H63" s="87">
        <v>6</v>
      </c>
      <c r="I63" s="87">
        <v>205</v>
      </c>
      <c r="J63" s="86">
        <v>1.6</v>
      </c>
      <c r="K63" s="87">
        <v>184</v>
      </c>
      <c r="L63" s="87">
        <v>4</v>
      </c>
      <c r="M63" s="87">
        <v>50</v>
      </c>
      <c r="N63" s="87">
        <v>5.4</v>
      </c>
      <c r="O63" s="87">
        <v>1700</v>
      </c>
      <c r="P63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91.328000000000003</v>
      </c>
      <c r="Q63" s="79">
        <v>12.5</v>
      </c>
      <c r="R63" s="79">
        <v>4</v>
      </c>
      <c r="S63" s="79">
        <v>59.6</v>
      </c>
      <c r="T63" s="50" t="s">
        <v>292</v>
      </c>
      <c r="U63" s="69" t="s">
        <v>336</v>
      </c>
      <c r="V63" s="30" t="s">
        <v>293</v>
      </c>
      <c r="W63" s="2" t="s">
        <v>294</v>
      </c>
      <c r="X63" s="78" t="s">
        <v>295</v>
      </c>
      <c r="Y63" s="65" t="s">
        <v>269</v>
      </c>
      <c r="Z63" s="65" t="s">
        <v>281</v>
      </c>
      <c r="AA63" s="65"/>
    </row>
    <row r="64" spans="1:27" ht="16.5" thickTop="1" thickBot="1" x14ac:dyDescent="0.3">
      <c r="E64" s="81">
        <v>85</v>
      </c>
      <c r="F64" s="82">
        <v>170</v>
      </c>
      <c r="G64" s="87">
        <v>1.5</v>
      </c>
      <c r="H64" s="87">
        <v>6</v>
      </c>
      <c r="I64" s="87">
        <v>205</v>
      </c>
      <c r="J64" s="86">
        <v>1.6</v>
      </c>
      <c r="K64" s="87">
        <v>184</v>
      </c>
      <c r="L64" s="87">
        <v>4</v>
      </c>
      <c r="M64" s="87">
        <v>50</v>
      </c>
      <c r="N64" s="82">
        <v>5.6</v>
      </c>
      <c r="O64" s="87">
        <v>1700</v>
      </c>
      <c r="P64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95.518000000000001</v>
      </c>
      <c r="Q64" s="79">
        <v>12.5</v>
      </c>
      <c r="R64" s="79">
        <v>4</v>
      </c>
      <c r="S64" s="79">
        <v>64</v>
      </c>
      <c r="T64" s="87" t="s">
        <v>215</v>
      </c>
      <c r="U64" s="107" t="s">
        <v>337</v>
      </c>
      <c r="V64" s="30" t="s">
        <v>216</v>
      </c>
      <c r="W64" s="2" t="s">
        <v>296</v>
      </c>
      <c r="X64" s="78" t="s">
        <v>297</v>
      </c>
      <c r="Y64" s="65" t="s">
        <v>269</v>
      </c>
      <c r="Z64" s="65" t="s">
        <v>281</v>
      </c>
      <c r="AA64" s="65">
        <f>Table1[[#This Row],[I_Step-1]]-(Table1[[#This Row],[I_Valley_Set]]-(Table1[[#This Row],[I_Ramp-Down '[A']]]/2))</f>
        <v>87</v>
      </c>
    </row>
    <row r="65" spans="5:27" ht="16.5" hidden="1" thickTop="1" thickBot="1" x14ac:dyDescent="0.3">
      <c r="E65" s="81">
        <v>75</v>
      </c>
      <c r="F65" s="82">
        <v>175</v>
      </c>
      <c r="G65" s="87">
        <v>1.5</v>
      </c>
      <c r="H65" s="87">
        <v>6</v>
      </c>
      <c r="I65" s="87">
        <v>205</v>
      </c>
      <c r="J65" s="86">
        <v>1.6</v>
      </c>
      <c r="K65" s="87">
        <v>184</v>
      </c>
      <c r="L65" s="87">
        <v>4</v>
      </c>
      <c r="M65" s="87">
        <v>50</v>
      </c>
      <c r="N65" s="60">
        <v>6</v>
      </c>
      <c r="O65" s="54">
        <v>1700</v>
      </c>
      <c r="P65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86.388000000000005</v>
      </c>
      <c r="Q65" s="79">
        <v>12.5</v>
      </c>
      <c r="R65" s="79">
        <v>4</v>
      </c>
      <c r="S65" s="79">
        <v>64</v>
      </c>
      <c r="T65" s="54" t="s">
        <v>298</v>
      </c>
      <c r="U65" s="54" t="s">
        <v>336</v>
      </c>
      <c r="V65" s="54" t="s">
        <v>299</v>
      </c>
      <c r="W65" s="55" t="s">
        <v>300</v>
      </c>
      <c r="X65" s="56" t="s">
        <v>301</v>
      </c>
      <c r="Y65" s="65" t="s">
        <v>269</v>
      </c>
      <c r="Z65" s="65" t="s">
        <v>281</v>
      </c>
      <c r="AA65" s="65"/>
    </row>
    <row r="66" spans="5:27" ht="16.5" thickTop="1" thickBot="1" x14ac:dyDescent="0.3">
      <c r="E66" s="81">
        <v>85</v>
      </c>
      <c r="F66" s="87">
        <v>175</v>
      </c>
      <c r="G66" s="87">
        <v>1.5</v>
      </c>
      <c r="H66" s="87">
        <v>6</v>
      </c>
      <c r="I66" s="87">
        <v>205</v>
      </c>
      <c r="J66" s="86">
        <v>1.6</v>
      </c>
      <c r="K66" s="87">
        <v>184</v>
      </c>
      <c r="L66" s="87">
        <v>4</v>
      </c>
      <c r="M66" s="87">
        <v>50</v>
      </c>
      <c r="N66" s="60">
        <v>6</v>
      </c>
      <c r="O66" s="54">
        <v>1700</v>
      </c>
      <c r="P66" s="63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95.368000000000009</v>
      </c>
      <c r="Q66" s="79">
        <v>12.5</v>
      </c>
      <c r="R66" s="79">
        <v>4</v>
      </c>
      <c r="S66" s="79">
        <v>68.7</v>
      </c>
      <c r="T66" s="87" t="s">
        <v>215</v>
      </c>
      <c r="U66" s="107" t="s">
        <v>337</v>
      </c>
      <c r="V66" s="30" t="s">
        <v>216</v>
      </c>
      <c r="W66" s="2" t="s">
        <v>302</v>
      </c>
      <c r="X66" s="78" t="s">
        <v>303</v>
      </c>
      <c r="Y66" s="65" t="s">
        <v>269</v>
      </c>
      <c r="Z66" s="65" t="s">
        <v>281</v>
      </c>
      <c r="AA66" s="65">
        <f>Table1[[#This Row],[I_Step-1]]-(Table1[[#This Row],[I_Valley_Set]]-(Table1[[#This Row],[I_Ramp-Down '[A']]]/2))</f>
        <v>92</v>
      </c>
    </row>
    <row r="67" spans="5:27" ht="16.5" thickTop="1" thickBot="1" x14ac:dyDescent="0.3">
      <c r="E67" s="81">
        <v>88</v>
      </c>
      <c r="F67" s="87">
        <v>175</v>
      </c>
      <c r="G67" s="87">
        <v>1.5</v>
      </c>
      <c r="H67" s="87">
        <v>6</v>
      </c>
      <c r="I67" s="87">
        <v>205</v>
      </c>
      <c r="J67" s="86">
        <v>1.6</v>
      </c>
      <c r="K67" s="87">
        <v>184</v>
      </c>
      <c r="L67" s="87">
        <v>4</v>
      </c>
      <c r="M67" s="87">
        <v>50</v>
      </c>
      <c r="N67" s="82">
        <v>6.5</v>
      </c>
      <c r="O67" s="50">
        <v>1700</v>
      </c>
      <c r="P67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98.062000000000012</v>
      </c>
      <c r="Q67" s="79">
        <v>12.5</v>
      </c>
      <c r="R67" s="79">
        <v>4</v>
      </c>
      <c r="S67" s="79">
        <v>74</v>
      </c>
      <c r="T67" s="87" t="s">
        <v>215</v>
      </c>
      <c r="U67" s="87" t="s">
        <v>337</v>
      </c>
      <c r="V67" s="50" t="s">
        <v>307</v>
      </c>
      <c r="W67" s="2" t="s">
        <v>302</v>
      </c>
      <c r="X67" s="78" t="s">
        <v>308</v>
      </c>
      <c r="Y67" s="65" t="s">
        <v>269</v>
      </c>
      <c r="Z67" s="65" t="s">
        <v>281</v>
      </c>
      <c r="AA67" s="65">
        <f>Table1[[#This Row],[I_Step-1]]-(Table1[[#This Row],[I_Valley_Set]]-(Table1[[#This Row],[I_Ramp-Down '[A']]]/2))</f>
        <v>89</v>
      </c>
    </row>
    <row r="68" spans="5:27" ht="15.75" hidden="1" thickBot="1" x14ac:dyDescent="0.3">
      <c r="E68" s="81">
        <v>92</v>
      </c>
      <c r="F68" s="50">
        <v>175</v>
      </c>
      <c r="G68" s="50">
        <v>1.5</v>
      </c>
      <c r="H68" s="50">
        <v>6</v>
      </c>
      <c r="I68" s="50">
        <v>205</v>
      </c>
      <c r="J68" s="50">
        <v>1.6</v>
      </c>
      <c r="K68" s="50">
        <v>184</v>
      </c>
      <c r="L68" s="50">
        <v>4</v>
      </c>
      <c r="M68" s="50">
        <v>50</v>
      </c>
      <c r="N68" s="50">
        <v>7</v>
      </c>
      <c r="O68" s="50">
        <v>1700</v>
      </c>
      <c r="P68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101.65400000000001</v>
      </c>
      <c r="Q68" s="79">
        <v>12.5</v>
      </c>
      <c r="R68" s="79">
        <v>4</v>
      </c>
      <c r="S68" s="79">
        <v>92</v>
      </c>
      <c r="T68" s="98" t="s">
        <v>309</v>
      </c>
      <c r="U68" s="98" t="s">
        <v>336</v>
      </c>
      <c r="V68" s="50" t="s">
        <v>314</v>
      </c>
      <c r="W68" s="2" t="s">
        <v>310</v>
      </c>
      <c r="X68" s="78" t="s">
        <v>311</v>
      </c>
      <c r="Y68" s="65" t="s">
        <v>269</v>
      </c>
      <c r="Z68" s="65" t="s">
        <v>281</v>
      </c>
      <c r="AA68" s="65"/>
    </row>
    <row r="69" spans="5:27" ht="15.75" hidden="1" thickBot="1" x14ac:dyDescent="0.3">
      <c r="E69" s="52">
        <v>92</v>
      </c>
      <c r="F69" s="50">
        <v>180</v>
      </c>
      <c r="G69" s="50">
        <v>1.5</v>
      </c>
      <c r="H69" s="50">
        <v>6</v>
      </c>
      <c r="I69" s="50">
        <v>205</v>
      </c>
      <c r="J69" s="50">
        <v>1.6</v>
      </c>
      <c r="K69" s="50">
        <v>184</v>
      </c>
      <c r="L69" s="50">
        <v>4</v>
      </c>
      <c r="M69" s="50">
        <v>50</v>
      </c>
      <c r="N69" s="50">
        <v>7</v>
      </c>
      <c r="O69" s="50">
        <v>1700</v>
      </c>
      <c r="P69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101.504</v>
      </c>
      <c r="Q69" s="79">
        <v>12.5</v>
      </c>
      <c r="R69" s="79">
        <v>4</v>
      </c>
      <c r="S69" s="79">
        <v>92.6</v>
      </c>
      <c r="T69" s="98" t="s">
        <v>309</v>
      </c>
      <c r="U69" s="98" t="s">
        <v>336</v>
      </c>
      <c r="V69" s="50" t="s">
        <v>314</v>
      </c>
      <c r="W69" s="2" t="s">
        <v>313</v>
      </c>
      <c r="X69" s="78" t="s">
        <v>312</v>
      </c>
      <c r="Y69" s="65" t="s">
        <v>269</v>
      </c>
      <c r="Z69" s="65" t="s">
        <v>281</v>
      </c>
      <c r="AA69" s="65"/>
    </row>
    <row r="70" spans="5:27" ht="15.75" hidden="1" thickBot="1" x14ac:dyDescent="0.3">
      <c r="E70" s="52">
        <v>95</v>
      </c>
      <c r="F70" s="50">
        <v>190</v>
      </c>
      <c r="G70" s="50">
        <v>1.5</v>
      </c>
      <c r="H70" s="50">
        <v>6</v>
      </c>
      <c r="I70" s="50">
        <v>205</v>
      </c>
      <c r="J70" s="50">
        <v>1.6</v>
      </c>
      <c r="K70" s="50">
        <v>184</v>
      </c>
      <c r="L70" s="50">
        <v>4</v>
      </c>
      <c r="M70" s="50">
        <v>50</v>
      </c>
      <c r="N70" s="50">
        <v>7</v>
      </c>
      <c r="O70" s="50">
        <v>1700</v>
      </c>
      <c r="P70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103.898</v>
      </c>
      <c r="Q70" s="79">
        <v>12.5</v>
      </c>
      <c r="R70" s="79">
        <v>4</v>
      </c>
      <c r="S70" s="79">
        <v>96</v>
      </c>
      <c r="T70" s="98" t="s">
        <v>309</v>
      </c>
      <c r="U70" s="98" t="s">
        <v>336</v>
      </c>
      <c r="V70" s="50" t="s">
        <v>314</v>
      </c>
      <c r="W70" s="2"/>
      <c r="X70" s="78" t="s">
        <v>318</v>
      </c>
      <c r="Y70" s="65" t="s">
        <v>269</v>
      </c>
      <c r="Z70" s="65" t="s">
        <v>281</v>
      </c>
      <c r="AA70" s="65"/>
    </row>
    <row r="71" spans="5:27" ht="15.75" hidden="1" thickBot="1" x14ac:dyDescent="0.3">
      <c r="E71" s="52">
        <v>95</v>
      </c>
      <c r="F71" s="50">
        <v>190</v>
      </c>
      <c r="G71" s="50">
        <v>1.5</v>
      </c>
      <c r="H71" s="50">
        <v>6</v>
      </c>
      <c r="I71" s="50">
        <v>205</v>
      </c>
      <c r="J71" s="50">
        <v>1.6</v>
      </c>
      <c r="K71" s="50">
        <v>184</v>
      </c>
      <c r="L71" s="50">
        <v>4.2</v>
      </c>
      <c r="M71" s="50">
        <v>50</v>
      </c>
      <c r="N71" s="50">
        <v>7</v>
      </c>
      <c r="O71" s="50">
        <v>1700</v>
      </c>
      <c r="P71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104.07599999999999</v>
      </c>
      <c r="Q71" s="79">
        <v>12.5</v>
      </c>
      <c r="R71" s="79">
        <v>8</v>
      </c>
      <c r="S71" s="79">
        <v>94.5</v>
      </c>
      <c r="T71" s="98" t="s">
        <v>309</v>
      </c>
      <c r="U71" s="98" t="s">
        <v>336</v>
      </c>
      <c r="V71" s="50" t="s">
        <v>314</v>
      </c>
      <c r="W71" s="2"/>
      <c r="X71" s="78" t="s">
        <v>317</v>
      </c>
      <c r="Y71" s="65" t="s">
        <v>269</v>
      </c>
      <c r="Z71" s="65" t="s">
        <v>281</v>
      </c>
      <c r="AA71" s="65"/>
    </row>
    <row r="72" spans="5:27" ht="15.75" hidden="1" thickBot="1" x14ac:dyDescent="0.3">
      <c r="E72" s="52">
        <v>98</v>
      </c>
      <c r="F72" s="50">
        <v>190</v>
      </c>
      <c r="G72" s="50">
        <v>1.5</v>
      </c>
      <c r="H72" s="50">
        <v>6</v>
      </c>
      <c r="I72" s="50">
        <v>205</v>
      </c>
      <c r="J72" s="50">
        <v>1.6</v>
      </c>
      <c r="K72" s="50">
        <v>184</v>
      </c>
      <c r="L72" s="50">
        <v>4.4000000000000004</v>
      </c>
      <c r="M72" s="50">
        <v>50</v>
      </c>
      <c r="N72" s="50">
        <v>7</v>
      </c>
      <c r="O72" s="50">
        <v>1700</v>
      </c>
      <c r="P72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106.93600000000001</v>
      </c>
      <c r="Q72" s="79">
        <v>12.5</v>
      </c>
      <c r="R72" s="79">
        <v>8</v>
      </c>
      <c r="S72" s="79"/>
      <c r="T72" s="98" t="s">
        <v>309</v>
      </c>
      <c r="U72" s="98" t="s">
        <v>336</v>
      </c>
      <c r="V72" s="50" t="s">
        <v>314</v>
      </c>
      <c r="W72" s="2"/>
      <c r="X72" s="78" t="s">
        <v>316</v>
      </c>
      <c r="Y72" s="65" t="s">
        <v>269</v>
      </c>
      <c r="Z72" s="65" t="s">
        <v>281</v>
      </c>
      <c r="AA72" s="65"/>
    </row>
    <row r="73" spans="5:27" ht="16.5" thickTop="1" thickBot="1" x14ac:dyDescent="0.3">
      <c r="E73" s="81">
        <v>110</v>
      </c>
      <c r="F73" s="87">
        <v>190</v>
      </c>
      <c r="G73" s="87">
        <v>1.5</v>
      </c>
      <c r="H73" s="87">
        <v>6</v>
      </c>
      <c r="I73" s="87">
        <v>205</v>
      </c>
      <c r="J73" s="87">
        <v>1.6</v>
      </c>
      <c r="K73" s="87">
        <v>184</v>
      </c>
      <c r="L73" s="87">
        <v>4.4000000000000004</v>
      </c>
      <c r="M73" s="87">
        <v>50</v>
      </c>
      <c r="N73" s="87">
        <v>7</v>
      </c>
      <c r="O73" s="87">
        <v>1700</v>
      </c>
      <c r="P73" s="88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117.664</v>
      </c>
      <c r="Q73" s="88">
        <v>12.5</v>
      </c>
      <c r="R73" s="90">
        <v>12</v>
      </c>
      <c r="S73" s="88">
        <v>81</v>
      </c>
      <c r="T73" s="87" t="s">
        <v>215</v>
      </c>
      <c r="U73" s="107" t="s">
        <v>337</v>
      </c>
      <c r="V73" s="30" t="s">
        <v>283</v>
      </c>
      <c r="W73" s="2"/>
      <c r="X73" s="78" t="s">
        <v>315</v>
      </c>
      <c r="Y73" s="65" t="s">
        <v>323</v>
      </c>
      <c r="Z73" s="65" t="s">
        <v>281</v>
      </c>
      <c r="AA73" s="65">
        <f>Table1[[#This Row],[I_Step-1]]-(Table1[[#This Row],[I_Valley_Set]]-(Table1[[#This Row],[I_Ramp-Down '[A']]]/2))</f>
        <v>86</v>
      </c>
    </row>
    <row r="74" spans="5:27" ht="16.5" thickTop="1" thickBot="1" x14ac:dyDescent="0.3">
      <c r="E74" s="81">
        <v>114</v>
      </c>
      <c r="F74" s="87">
        <v>190</v>
      </c>
      <c r="G74" s="87">
        <v>1.5</v>
      </c>
      <c r="H74" s="87">
        <v>6</v>
      </c>
      <c r="I74" s="87">
        <v>205</v>
      </c>
      <c r="J74" s="87">
        <v>1.6</v>
      </c>
      <c r="K74" s="87">
        <v>184</v>
      </c>
      <c r="L74" s="87">
        <v>4.4000000000000004</v>
      </c>
      <c r="M74" s="87">
        <v>50</v>
      </c>
      <c r="N74" s="87">
        <v>7</v>
      </c>
      <c r="O74" s="87">
        <v>1700</v>
      </c>
      <c r="P74" s="88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121.24</v>
      </c>
      <c r="Q74" s="88">
        <v>12.5</v>
      </c>
      <c r="R74" s="88">
        <v>16</v>
      </c>
      <c r="S74" s="88">
        <v>82</v>
      </c>
      <c r="T74" s="87" t="s">
        <v>215</v>
      </c>
      <c r="U74" s="107" t="s">
        <v>337</v>
      </c>
      <c r="V74" s="30" t="s">
        <v>283</v>
      </c>
      <c r="W74" s="2"/>
      <c r="X74" s="78" t="s">
        <v>322</v>
      </c>
      <c r="Y74" s="65" t="s">
        <v>323</v>
      </c>
      <c r="Z74" s="65" t="s">
        <v>281</v>
      </c>
      <c r="AA74" s="65">
        <f>Table1[[#This Row],[I_Step-1]]-(Table1[[#This Row],[I_Valley_Set]]-(Table1[[#This Row],[I_Ramp-Down '[A']]]/2))</f>
        <v>84</v>
      </c>
    </row>
    <row r="75" spans="5:27" ht="15.75" hidden="1" thickTop="1" x14ac:dyDescent="0.25">
      <c r="E75" s="52">
        <v>114</v>
      </c>
      <c r="F75" s="50">
        <v>190</v>
      </c>
      <c r="G75" s="50">
        <v>1.5</v>
      </c>
      <c r="H75" s="50">
        <v>6</v>
      </c>
      <c r="I75" s="50">
        <v>205</v>
      </c>
      <c r="J75" s="50">
        <v>1.6</v>
      </c>
      <c r="K75" s="50">
        <v>184</v>
      </c>
      <c r="L75" s="50">
        <v>4.4000000000000004</v>
      </c>
      <c r="M75" s="50">
        <v>50</v>
      </c>
      <c r="N75" s="82">
        <v>7.2</v>
      </c>
      <c r="O75" s="50">
        <v>1700</v>
      </c>
      <c r="P75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121.24</v>
      </c>
      <c r="Q75" s="79">
        <v>12.5</v>
      </c>
      <c r="R75" s="79">
        <v>16</v>
      </c>
      <c r="S75" s="79"/>
      <c r="T75" s="98" t="s">
        <v>319</v>
      </c>
      <c r="U75" s="98" t="s">
        <v>336</v>
      </c>
      <c r="V75" s="50" t="s">
        <v>320</v>
      </c>
      <c r="W75" s="2" t="s">
        <v>321</v>
      </c>
      <c r="X75" s="78" t="s">
        <v>324</v>
      </c>
      <c r="Y75" s="65" t="s">
        <v>323</v>
      </c>
      <c r="Z75" s="65" t="s">
        <v>281</v>
      </c>
      <c r="AA75" s="65"/>
    </row>
    <row r="76" spans="5:27" ht="16.5" thickTop="1" thickBot="1" x14ac:dyDescent="0.3">
      <c r="E76" s="86">
        <v>114</v>
      </c>
      <c r="F76" s="87">
        <v>190</v>
      </c>
      <c r="G76" s="87">
        <v>1.5</v>
      </c>
      <c r="H76" s="87">
        <v>6</v>
      </c>
      <c r="I76" s="87">
        <v>205</v>
      </c>
      <c r="J76" s="87">
        <v>1.6</v>
      </c>
      <c r="K76" s="87">
        <v>184</v>
      </c>
      <c r="L76" s="87">
        <v>4.4000000000000004</v>
      </c>
      <c r="M76" s="87">
        <v>50</v>
      </c>
      <c r="N76" s="87">
        <v>7.2</v>
      </c>
      <c r="O76" s="82">
        <v>1900</v>
      </c>
      <c r="P76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121.24</v>
      </c>
      <c r="Q76" s="88">
        <v>12.5</v>
      </c>
      <c r="R76" s="88">
        <v>16</v>
      </c>
      <c r="S76" s="88">
        <v>82.6</v>
      </c>
      <c r="T76" s="87" t="s">
        <v>215</v>
      </c>
      <c r="U76" s="87" t="s">
        <v>337</v>
      </c>
      <c r="V76" s="87" t="s">
        <v>326</v>
      </c>
      <c r="W76" s="2"/>
      <c r="X76" s="78" t="s">
        <v>325</v>
      </c>
      <c r="Y76" s="65" t="s">
        <v>323</v>
      </c>
      <c r="Z76" s="65" t="s">
        <v>281</v>
      </c>
      <c r="AA76" s="65">
        <f>Table1[[#This Row],[I_Step-1]]-(Table1[[#This Row],[I_Valley_Set]]-(Table1[[#This Row],[I_Ramp-Down '[A']]]/2))</f>
        <v>84</v>
      </c>
    </row>
    <row r="77" spans="5:27" ht="15.75" hidden="1" thickBot="1" x14ac:dyDescent="0.3">
      <c r="E77" s="81">
        <v>118</v>
      </c>
      <c r="F77" s="87">
        <v>190</v>
      </c>
      <c r="G77" s="87">
        <v>1.5</v>
      </c>
      <c r="H77" s="87">
        <v>6</v>
      </c>
      <c r="I77" s="87">
        <v>205</v>
      </c>
      <c r="J77" s="87">
        <v>1.6</v>
      </c>
      <c r="K77" s="87">
        <v>184</v>
      </c>
      <c r="L77" s="87">
        <v>4.4000000000000004</v>
      </c>
      <c r="M77" s="87">
        <v>50</v>
      </c>
      <c r="N77" s="82">
        <v>7.5</v>
      </c>
      <c r="O77" s="87">
        <v>1900</v>
      </c>
      <c r="P77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124.81599999999999</v>
      </c>
      <c r="Q77" s="79">
        <v>12.5</v>
      </c>
      <c r="R77" s="90">
        <v>18</v>
      </c>
      <c r="S77" s="79">
        <v>82.6</v>
      </c>
      <c r="T77" s="98" t="s">
        <v>309</v>
      </c>
      <c r="U77" s="98" t="s">
        <v>336</v>
      </c>
      <c r="V77" s="50" t="s">
        <v>314</v>
      </c>
      <c r="W77" s="2"/>
      <c r="X77" s="44"/>
      <c r="Y77" s="65"/>
      <c r="Z77" s="65"/>
      <c r="AA77" s="65"/>
    </row>
    <row r="78" spans="5:27" ht="16.5" thickTop="1" thickBot="1" x14ac:dyDescent="0.3">
      <c r="E78" s="86">
        <v>118</v>
      </c>
      <c r="F78" s="87">
        <v>190</v>
      </c>
      <c r="G78" s="87">
        <v>1.5</v>
      </c>
      <c r="H78" s="87">
        <v>6</v>
      </c>
      <c r="I78" s="87">
        <v>205</v>
      </c>
      <c r="J78" s="87">
        <v>1.6</v>
      </c>
      <c r="K78" s="87">
        <v>184</v>
      </c>
      <c r="L78" s="87">
        <v>4.4000000000000004</v>
      </c>
      <c r="M78" s="87">
        <v>50</v>
      </c>
      <c r="N78" s="87">
        <v>7.5</v>
      </c>
      <c r="O78" s="50">
        <v>1900</v>
      </c>
      <c r="P78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124.81599999999999</v>
      </c>
      <c r="Q78" s="88">
        <v>12.5</v>
      </c>
      <c r="R78" s="90">
        <v>20</v>
      </c>
      <c r="S78" s="88">
        <v>84</v>
      </c>
      <c r="T78" s="87" t="s">
        <v>215</v>
      </c>
      <c r="U78" s="107" t="s">
        <v>337</v>
      </c>
      <c r="V78" s="30" t="s">
        <v>283</v>
      </c>
      <c r="W78" s="2" t="s">
        <v>327</v>
      </c>
      <c r="X78" s="78" t="s">
        <v>328</v>
      </c>
      <c r="Y78" s="65" t="s">
        <v>323</v>
      </c>
      <c r="Z78" s="65" t="s">
        <v>281</v>
      </c>
      <c r="AA78" s="65">
        <f>Table1[[#This Row],[I_Step-1]]-(Table1[[#This Row],[I_Valley_Set]]-(Table1[[#This Row],[I_Ramp-Down '[A']]]/2))</f>
        <v>82</v>
      </c>
    </row>
    <row r="79" spans="5:27" ht="15.75" thickTop="1" x14ac:dyDescent="0.25">
      <c r="E79" s="86">
        <v>118</v>
      </c>
      <c r="F79" s="87">
        <v>190</v>
      </c>
      <c r="G79" s="87">
        <v>1.5</v>
      </c>
      <c r="H79" s="87">
        <v>6</v>
      </c>
      <c r="I79" s="87">
        <v>205</v>
      </c>
      <c r="J79" s="87">
        <v>1.6</v>
      </c>
      <c r="K79" s="87">
        <v>184</v>
      </c>
      <c r="L79" s="87">
        <v>4.4000000000000004</v>
      </c>
      <c r="M79" s="87">
        <v>50</v>
      </c>
      <c r="N79" s="82">
        <v>8</v>
      </c>
      <c r="O79" s="82">
        <v>2100</v>
      </c>
      <c r="P79" s="79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124.81599999999999</v>
      </c>
      <c r="Q79" s="88">
        <v>12.5</v>
      </c>
      <c r="R79" s="88">
        <v>20</v>
      </c>
      <c r="S79" s="88">
        <v>84</v>
      </c>
      <c r="T79" s="87" t="s">
        <v>215</v>
      </c>
      <c r="U79" s="87" t="s">
        <v>337</v>
      </c>
      <c r="V79" s="87" t="s">
        <v>326</v>
      </c>
      <c r="W79" s="100" t="s">
        <v>330</v>
      </c>
      <c r="X79" s="78" t="s">
        <v>329</v>
      </c>
      <c r="Y79" s="65" t="s">
        <v>323</v>
      </c>
      <c r="Z79" s="65" t="s">
        <v>281</v>
      </c>
      <c r="AA79" s="65">
        <f>Table1[[#This Row],[I_Step-1]]-(Table1[[#This Row],[I_Valley_Set]]-(Table1[[#This Row],[I_Ramp-Down '[A']]]/2))</f>
        <v>82</v>
      </c>
    </row>
    <row r="80" spans="5:27" hidden="1" x14ac:dyDescent="0.25">
      <c r="E80" s="52"/>
      <c r="F80" s="50"/>
      <c r="G80" s="50"/>
      <c r="H80" s="50"/>
      <c r="I80" s="50"/>
      <c r="J80" s="50"/>
      <c r="K80" s="50"/>
      <c r="L80" s="50"/>
      <c r="M80" s="50"/>
      <c r="N80" s="50"/>
      <c r="O80" s="50"/>
      <c r="P80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0" s="79"/>
      <c r="R80" s="79"/>
      <c r="S80" s="79"/>
      <c r="T80" s="50"/>
      <c r="U80" s="50"/>
      <c r="V80" s="50"/>
      <c r="W80" s="2"/>
      <c r="X80" s="44"/>
      <c r="Y80" s="65"/>
      <c r="Z80" s="65" t="s">
        <v>333</v>
      </c>
      <c r="AA80" s="65"/>
    </row>
    <row r="81" spans="5:27" hidden="1" x14ac:dyDescent="0.25">
      <c r="E81" s="52"/>
      <c r="F81" s="50"/>
      <c r="G81" s="50"/>
      <c r="H81" s="50"/>
      <c r="I81" s="50"/>
      <c r="J81" s="50"/>
      <c r="K81" s="50"/>
      <c r="L81" s="50"/>
      <c r="M81" s="50"/>
      <c r="N81" s="50"/>
      <c r="O81" s="50"/>
      <c r="P81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1" s="79"/>
      <c r="R81" s="79"/>
      <c r="S81" s="79"/>
      <c r="T81" s="50"/>
      <c r="U81" s="50"/>
      <c r="V81" s="50"/>
      <c r="W81" s="2"/>
      <c r="X81" s="44"/>
      <c r="Y81" s="65"/>
      <c r="Z81" s="65"/>
      <c r="AA81" s="65"/>
    </row>
    <row r="82" spans="5:27" hidden="1" x14ac:dyDescent="0.25">
      <c r="E82" s="52"/>
      <c r="F82" s="50"/>
      <c r="G82" s="50"/>
      <c r="H82" s="50"/>
      <c r="I82" s="50"/>
      <c r="J82" s="50"/>
      <c r="K82" s="50"/>
      <c r="L82" s="50"/>
      <c r="M82" s="50"/>
      <c r="N82" s="50"/>
      <c r="O82" s="50"/>
      <c r="P82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2" s="79"/>
      <c r="R82" s="79"/>
      <c r="S82" s="79"/>
      <c r="T82" s="50"/>
      <c r="U82" s="50"/>
      <c r="V82" s="50"/>
      <c r="W82" s="2"/>
      <c r="X82" s="44"/>
      <c r="Y82" s="65"/>
      <c r="Z82" s="65"/>
      <c r="AA82" s="65"/>
    </row>
    <row r="83" spans="5:27" hidden="1" x14ac:dyDescent="0.25">
      <c r="E83" s="52"/>
      <c r="F83" s="50"/>
      <c r="G83" s="50"/>
      <c r="H83" s="50"/>
      <c r="I83" s="50"/>
      <c r="J83" s="50"/>
      <c r="K83" s="50"/>
      <c r="L83" s="50"/>
      <c r="M83" s="50"/>
      <c r="N83" s="50"/>
      <c r="O83" s="50"/>
      <c r="P83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3" s="79"/>
      <c r="R83" s="79"/>
      <c r="S83" s="79"/>
      <c r="T83" s="50"/>
      <c r="U83" s="50"/>
      <c r="V83" s="50"/>
      <c r="W83" s="2"/>
      <c r="X83" s="44"/>
      <c r="Y83" s="65"/>
      <c r="Z83" s="65"/>
      <c r="AA83" s="65"/>
    </row>
    <row r="84" spans="5:27" hidden="1" x14ac:dyDescent="0.25">
      <c r="E84" s="52"/>
      <c r="F84" s="50"/>
      <c r="G84" s="50"/>
      <c r="H84" s="50"/>
      <c r="I84" s="50"/>
      <c r="J84" s="50"/>
      <c r="K84" s="50"/>
      <c r="L84" s="50"/>
      <c r="M84" s="50"/>
      <c r="N84" s="50"/>
      <c r="O84" s="50"/>
      <c r="P84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4" s="79"/>
      <c r="R84" s="79"/>
      <c r="S84" s="79"/>
      <c r="T84" s="50"/>
      <c r="U84" s="50"/>
      <c r="V84" s="50"/>
      <c r="W84" s="2"/>
      <c r="X84" s="44"/>
      <c r="Y84" s="65"/>
      <c r="Z84" s="65"/>
      <c r="AA84" s="65"/>
    </row>
    <row r="85" spans="5:27" hidden="1" x14ac:dyDescent="0.25">
      <c r="E85" s="52"/>
      <c r="F85" s="50"/>
      <c r="G85" s="50"/>
      <c r="H85" s="50"/>
      <c r="I85" s="50"/>
      <c r="J85" s="50"/>
      <c r="K85" s="50"/>
      <c r="L85" s="50"/>
      <c r="M85" s="50"/>
      <c r="N85" s="50"/>
      <c r="O85" s="50"/>
      <c r="P85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5" s="79"/>
      <c r="R85" s="79"/>
      <c r="S85" s="79"/>
      <c r="T85" s="50"/>
      <c r="U85" s="50"/>
      <c r="V85" s="50"/>
      <c r="W85" s="2"/>
      <c r="X85" s="44"/>
      <c r="Y85" s="65"/>
      <c r="Z85" s="65"/>
      <c r="AA85" s="65"/>
    </row>
    <row r="86" spans="5:27" hidden="1" x14ac:dyDescent="0.25">
      <c r="E86" s="52"/>
      <c r="F86" s="50"/>
      <c r="G86" s="50"/>
      <c r="H86" s="50"/>
      <c r="I86" s="50"/>
      <c r="J86" s="50"/>
      <c r="K86" s="50"/>
      <c r="L86" s="50"/>
      <c r="M86" s="50"/>
      <c r="N86" s="50"/>
      <c r="O86" s="50"/>
      <c r="P86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6" s="79"/>
      <c r="R86" s="79"/>
      <c r="S86" s="79"/>
      <c r="T86" s="50"/>
      <c r="U86" s="50"/>
      <c r="V86" s="50"/>
      <c r="W86" s="2"/>
      <c r="X86" s="44"/>
      <c r="Y86" s="65"/>
      <c r="Z86" s="65"/>
      <c r="AA86" s="65"/>
    </row>
    <row r="87" spans="5:27" hidden="1" x14ac:dyDescent="0.25">
      <c r="E87" s="52"/>
      <c r="F87" s="50"/>
      <c r="G87" s="50"/>
      <c r="H87" s="50"/>
      <c r="I87" s="50"/>
      <c r="J87" s="50"/>
      <c r="K87" s="50"/>
      <c r="L87" s="50"/>
      <c r="M87" s="50"/>
      <c r="N87" s="50"/>
      <c r="O87" s="50"/>
      <c r="P87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7" s="79"/>
      <c r="R87" s="79"/>
      <c r="S87" s="79"/>
      <c r="T87" s="50"/>
      <c r="U87" s="50"/>
      <c r="V87" s="50"/>
      <c r="W87" s="2"/>
      <c r="X87" s="44"/>
      <c r="Y87" s="65"/>
      <c r="Z87" s="65"/>
      <c r="AA87" s="65"/>
    </row>
    <row r="88" spans="5:27" hidden="1" x14ac:dyDescent="0.25">
      <c r="E88" s="52"/>
      <c r="F88" s="50"/>
      <c r="G88" s="50"/>
      <c r="H88" s="50"/>
      <c r="I88" s="50"/>
      <c r="J88" s="50"/>
      <c r="K88" s="50"/>
      <c r="L88" s="50"/>
      <c r="M88" s="50"/>
      <c r="N88" s="50"/>
      <c r="O88" s="50"/>
      <c r="P88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8" s="79"/>
      <c r="R88" s="79"/>
      <c r="S88" s="79"/>
      <c r="T88" s="50"/>
      <c r="U88" s="50"/>
      <c r="V88" s="50"/>
      <c r="W88" s="2"/>
      <c r="X88" s="44"/>
      <c r="Y88" s="65"/>
      <c r="Z88" s="65"/>
      <c r="AA88" s="65"/>
    </row>
    <row r="89" spans="5:27" hidden="1" x14ac:dyDescent="0.25">
      <c r="E89" s="52"/>
      <c r="F89" s="50"/>
      <c r="G89" s="50"/>
      <c r="H89" s="50"/>
      <c r="I89" s="50"/>
      <c r="J89" s="50"/>
      <c r="K89" s="50"/>
      <c r="L89" s="50"/>
      <c r="M89" s="50"/>
      <c r="N89" s="50"/>
      <c r="O89" s="50"/>
      <c r="P89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89" s="79"/>
      <c r="R89" s="79"/>
      <c r="S89" s="79"/>
      <c r="T89" s="50"/>
      <c r="U89" s="50"/>
      <c r="V89" s="50"/>
      <c r="W89" s="2"/>
      <c r="X89" s="44"/>
      <c r="Y89" s="65"/>
      <c r="Z89" s="65"/>
      <c r="AA89" s="65"/>
    </row>
    <row r="90" spans="5:27" hidden="1" x14ac:dyDescent="0.25">
      <c r="E90" s="52"/>
      <c r="F90" s="50"/>
      <c r="G90" s="50"/>
      <c r="H90" s="50"/>
      <c r="I90" s="50"/>
      <c r="J90" s="50"/>
      <c r="K90" s="50"/>
      <c r="L90" s="50"/>
      <c r="M90" s="50"/>
      <c r="N90" s="50"/>
      <c r="O90" s="50"/>
      <c r="P90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0" s="79"/>
      <c r="R90" s="79"/>
      <c r="S90" s="79"/>
      <c r="T90" s="50"/>
      <c r="U90" s="50"/>
      <c r="V90" s="50"/>
      <c r="W90" s="2"/>
      <c r="X90" s="44"/>
      <c r="Y90" s="65"/>
      <c r="Z90" s="65"/>
      <c r="AA90" s="65"/>
    </row>
    <row r="91" spans="5:27" hidden="1" x14ac:dyDescent="0.25">
      <c r="E91" s="52"/>
      <c r="F91" s="50"/>
      <c r="G91" s="50"/>
      <c r="H91" s="50"/>
      <c r="I91" s="50"/>
      <c r="J91" s="50"/>
      <c r="K91" s="50"/>
      <c r="L91" s="50"/>
      <c r="M91" s="50"/>
      <c r="N91" s="50"/>
      <c r="O91" s="50"/>
      <c r="P91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1" s="79"/>
      <c r="R91" s="79"/>
      <c r="S91" s="79"/>
      <c r="T91" s="50"/>
      <c r="U91" s="50"/>
      <c r="V91" s="50"/>
      <c r="W91" s="2"/>
      <c r="X91" s="44"/>
      <c r="Y91" s="65"/>
      <c r="Z91" s="65"/>
      <c r="AA91" s="65"/>
    </row>
    <row r="92" spans="5:27" hidden="1" x14ac:dyDescent="0.25">
      <c r="E92" s="52"/>
      <c r="F92" s="50"/>
      <c r="G92" s="50"/>
      <c r="H92" s="50"/>
      <c r="I92" s="50"/>
      <c r="J92" s="50"/>
      <c r="K92" s="50"/>
      <c r="L92" s="50"/>
      <c r="M92" s="50"/>
      <c r="N92" s="50"/>
      <c r="O92" s="50"/>
      <c r="P92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2" s="79"/>
      <c r="R92" s="79"/>
      <c r="S92" s="79"/>
      <c r="T92" s="50"/>
      <c r="U92" s="50"/>
      <c r="V92" s="50"/>
      <c r="W92" s="2"/>
      <c r="X92" s="44"/>
      <c r="Y92" s="65"/>
      <c r="Z92" s="65"/>
      <c r="AA92" s="65"/>
    </row>
    <row r="93" spans="5:27" hidden="1" x14ac:dyDescent="0.25">
      <c r="E93" s="52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3" s="79"/>
      <c r="R93" s="79"/>
      <c r="S93" s="79"/>
      <c r="T93" s="50"/>
      <c r="U93" s="50"/>
      <c r="V93" s="50"/>
      <c r="W93" s="2"/>
      <c r="X93" s="44"/>
      <c r="Y93" s="65"/>
      <c r="Z93" s="65"/>
      <c r="AA93" s="65"/>
    </row>
    <row r="94" spans="5:27" hidden="1" x14ac:dyDescent="0.25">
      <c r="E94" s="52"/>
      <c r="F94" s="50"/>
      <c r="G94" s="50"/>
      <c r="H94" s="50"/>
      <c r="I94" s="50"/>
      <c r="J94" s="50"/>
      <c r="K94" s="50"/>
      <c r="L94" s="50"/>
      <c r="M94" s="50"/>
      <c r="N94" s="50"/>
      <c r="O94" s="50"/>
      <c r="P94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4" s="79"/>
      <c r="R94" s="79"/>
      <c r="S94" s="79"/>
      <c r="T94" s="50"/>
      <c r="U94" s="50"/>
      <c r="V94" s="50"/>
      <c r="W94" s="2"/>
      <c r="X94" s="44"/>
      <c r="Y94" s="65"/>
      <c r="Z94" s="65"/>
      <c r="AA94" s="65"/>
    </row>
    <row r="95" spans="5:27" hidden="1" x14ac:dyDescent="0.25">
      <c r="E95" s="52"/>
      <c r="F95" s="50"/>
      <c r="G95" s="50"/>
      <c r="H95" s="50"/>
      <c r="I95" s="50"/>
      <c r="J95" s="50"/>
      <c r="K95" s="50"/>
      <c r="L95" s="50"/>
      <c r="M95" s="50"/>
      <c r="N95" s="50"/>
      <c r="O95" s="50"/>
      <c r="P95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5" s="79"/>
      <c r="R95" s="79"/>
      <c r="S95" s="79"/>
      <c r="T95" s="50"/>
      <c r="U95" s="50"/>
      <c r="V95" s="50"/>
      <c r="W95" s="2"/>
      <c r="X95" s="44"/>
      <c r="Y95" s="65"/>
      <c r="Z95" s="65"/>
      <c r="AA95" s="65"/>
    </row>
    <row r="96" spans="5:27" hidden="1" x14ac:dyDescent="0.25">
      <c r="E96" s="52"/>
      <c r="F96" s="50"/>
      <c r="G96" s="50"/>
      <c r="H96" s="50"/>
      <c r="I96" s="50"/>
      <c r="J96" s="50"/>
      <c r="K96" s="50"/>
      <c r="L96" s="50"/>
      <c r="M96" s="50"/>
      <c r="N96" s="50"/>
      <c r="O96" s="50"/>
      <c r="P96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6" s="79"/>
      <c r="R96" s="79"/>
      <c r="S96" s="79"/>
      <c r="T96" s="50"/>
      <c r="U96" s="50"/>
      <c r="V96" s="50"/>
      <c r="W96" s="2"/>
      <c r="X96" s="44"/>
      <c r="Y96" s="65"/>
      <c r="Z96" s="65"/>
      <c r="AA96" s="65"/>
    </row>
    <row r="97" spans="5:27" hidden="1" x14ac:dyDescent="0.25">
      <c r="E97" s="52"/>
      <c r="F97" s="50"/>
      <c r="G97" s="50"/>
      <c r="H97" s="50"/>
      <c r="I97" s="50"/>
      <c r="J97" s="50"/>
      <c r="K97" s="50"/>
      <c r="L97" s="50"/>
      <c r="M97" s="50"/>
      <c r="N97" s="50"/>
      <c r="O97" s="50"/>
      <c r="P97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7" s="79"/>
      <c r="R97" s="79"/>
      <c r="S97" s="79"/>
      <c r="T97" s="50"/>
      <c r="U97" s="50"/>
      <c r="V97" s="50"/>
      <c r="W97" s="2"/>
      <c r="X97" s="44"/>
      <c r="Y97" s="65"/>
      <c r="Z97" s="65"/>
      <c r="AA97" s="65"/>
    </row>
    <row r="98" spans="5:27" hidden="1" x14ac:dyDescent="0.25">
      <c r="E98" s="52"/>
      <c r="F98" s="50"/>
      <c r="G98" s="50"/>
      <c r="H98" s="50"/>
      <c r="I98" s="50"/>
      <c r="J98" s="50"/>
      <c r="K98" s="50"/>
      <c r="L98" s="50"/>
      <c r="M98" s="50"/>
      <c r="N98" s="50"/>
      <c r="O98" s="50"/>
      <c r="P98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8" s="79"/>
      <c r="R98" s="79"/>
      <c r="S98" s="79"/>
      <c r="T98" s="50"/>
      <c r="U98" s="50"/>
      <c r="V98" s="50"/>
      <c r="W98" s="2"/>
      <c r="X98" s="44"/>
      <c r="Y98" s="65"/>
      <c r="Z98" s="65"/>
      <c r="AA98" s="65"/>
    </row>
    <row r="99" spans="5:27" hidden="1" x14ac:dyDescent="0.25">
      <c r="E99" s="52"/>
      <c r="F99" s="50"/>
      <c r="G99" s="50"/>
      <c r="H99" s="50"/>
      <c r="I99" s="50"/>
      <c r="J99" s="50"/>
      <c r="K99" s="50"/>
      <c r="L99" s="50"/>
      <c r="M99" s="50"/>
      <c r="N99" s="50"/>
      <c r="O99" s="50"/>
      <c r="P99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99" s="79"/>
      <c r="R99" s="79"/>
      <c r="S99" s="79"/>
      <c r="T99" s="50"/>
      <c r="U99" s="50"/>
      <c r="V99" s="50"/>
      <c r="W99" s="2"/>
      <c r="X99" s="44"/>
      <c r="Y99" s="65"/>
      <c r="Z99" s="65"/>
      <c r="AA99" s="65"/>
    </row>
    <row r="100" spans="5:27" hidden="1" x14ac:dyDescent="0.25">
      <c r="E100" s="52"/>
      <c r="F100" s="50"/>
      <c r="G100" s="50"/>
      <c r="H100" s="50"/>
      <c r="I100" s="50"/>
      <c r="J100" s="50"/>
      <c r="K100" s="50"/>
      <c r="L100" s="50"/>
      <c r="M100" s="50"/>
      <c r="N100" s="50"/>
      <c r="O100" s="50"/>
      <c r="P100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0" s="79"/>
      <c r="R100" s="79"/>
      <c r="S100" s="79"/>
      <c r="T100" s="50"/>
      <c r="U100" s="50"/>
      <c r="V100" s="50"/>
      <c r="W100" s="2"/>
      <c r="X100" s="44"/>
      <c r="Y100" s="65"/>
      <c r="Z100" s="65"/>
      <c r="AA100" s="65"/>
    </row>
    <row r="101" spans="5:27" hidden="1" x14ac:dyDescent="0.25">
      <c r="E101" s="52"/>
      <c r="F101" s="50"/>
      <c r="G101" s="50"/>
      <c r="H101" s="50"/>
      <c r="I101" s="50"/>
      <c r="J101" s="50"/>
      <c r="K101" s="50"/>
      <c r="L101" s="50"/>
      <c r="M101" s="50"/>
      <c r="N101" s="50"/>
      <c r="O101" s="50"/>
      <c r="P101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1" s="79"/>
      <c r="R101" s="79"/>
      <c r="S101" s="79"/>
      <c r="T101" s="50"/>
      <c r="U101" s="50"/>
      <c r="V101" s="50"/>
      <c r="W101" s="2"/>
      <c r="X101" s="44"/>
      <c r="Y101" s="65"/>
      <c r="Z101" s="65"/>
      <c r="AA101" s="65"/>
    </row>
    <row r="102" spans="5:27" hidden="1" x14ac:dyDescent="0.25">
      <c r="E102" s="52"/>
      <c r="F102" s="50"/>
      <c r="G102" s="50"/>
      <c r="H102" s="50"/>
      <c r="I102" s="50"/>
      <c r="J102" s="50"/>
      <c r="K102" s="50"/>
      <c r="L102" s="50"/>
      <c r="M102" s="50"/>
      <c r="N102" s="50"/>
      <c r="O102" s="50"/>
      <c r="P102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2" s="79"/>
      <c r="R102" s="79"/>
      <c r="S102" s="79"/>
      <c r="T102" s="50"/>
      <c r="U102" s="50"/>
      <c r="V102" s="50"/>
      <c r="W102" s="2"/>
      <c r="X102" s="44"/>
      <c r="Y102" s="65"/>
      <c r="Z102" s="65"/>
      <c r="AA102" s="65"/>
    </row>
    <row r="103" spans="5:27" hidden="1" x14ac:dyDescent="0.25">
      <c r="E103" s="52"/>
      <c r="F103" s="50"/>
      <c r="G103" s="50"/>
      <c r="H103" s="50"/>
      <c r="I103" s="50"/>
      <c r="J103" s="50"/>
      <c r="K103" s="50"/>
      <c r="L103" s="50"/>
      <c r="M103" s="50"/>
      <c r="N103" s="50"/>
      <c r="O103" s="50"/>
      <c r="P103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3" s="79"/>
      <c r="R103" s="79"/>
      <c r="S103" s="79"/>
      <c r="T103" s="50"/>
      <c r="U103" s="50"/>
      <c r="V103" s="50"/>
      <c r="W103" s="2"/>
      <c r="X103" s="44"/>
      <c r="Y103" s="65"/>
      <c r="Z103" s="65"/>
      <c r="AA103" s="65"/>
    </row>
    <row r="104" spans="5:27" hidden="1" x14ac:dyDescent="0.25">
      <c r="E104" s="52"/>
      <c r="F104" s="50"/>
      <c r="G104" s="50"/>
      <c r="H104" s="50"/>
      <c r="I104" s="50"/>
      <c r="J104" s="50"/>
      <c r="K104" s="50"/>
      <c r="L104" s="50"/>
      <c r="M104" s="50"/>
      <c r="N104" s="50"/>
      <c r="O104" s="50"/>
      <c r="P104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4" s="79"/>
      <c r="R104" s="79"/>
      <c r="S104" s="79"/>
      <c r="T104" s="50"/>
      <c r="U104" s="50"/>
      <c r="V104" s="50"/>
      <c r="W104" s="2"/>
      <c r="X104" s="44"/>
      <c r="Y104" s="65"/>
      <c r="Z104" s="65"/>
      <c r="AA104" s="65"/>
    </row>
    <row r="105" spans="5:27" hidden="1" x14ac:dyDescent="0.25">
      <c r="E105" s="52"/>
      <c r="F105" s="50"/>
      <c r="G105" s="50"/>
      <c r="H105" s="50"/>
      <c r="I105" s="50"/>
      <c r="J105" s="50"/>
      <c r="K105" s="50"/>
      <c r="L105" s="50"/>
      <c r="M105" s="50"/>
      <c r="N105" s="50"/>
      <c r="O105" s="50"/>
      <c r="P105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5" s="79"/>
      <c r="R105" s="79"/>
      <c r="S105" s="79"/>
      <c r="T105" s="50"/>
      <c r="U105" s="50"/>
      <c r="V105" s="50"/>
      <c r="W105" s="2"/>
      <c r="X105" s="44"/>
      <c r="Y105" s="65"/>
      <c r="Z105" s="65"/>
      <c r="AA105" s="65"/>
    </row>
    <row r="106" spans="5:27" hidden="1" x14ac:dyDescent="0.25">
      <c r="E106" s="52"/>
      <c r="F106" s="50"/>
      <c r="G106" s="50"/>
      <c r="H106" s="50"/>
      <c r="I106" s="50"/>
      <c r="J106" s="50"/>
      <c r="K106" s="50"/>
      <c r="L106" s="50"/>
      <c r="M106" s="50"/>
      <c r="N106" s="50"/>
      <c r="O106" s="50"/>
      <c r="P106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6" s="79"/>
      <c r="R106" s="79"/>
      <c r="S106" s="79"/>
      <c r="T106" s="50"/>
      <c r="U106" s="50"/>
      <c r="V106" s="50"/>
      <c r="W106" s="2"/>
      <c r="X106" s="44"/>
      <c r="Y106" s="65"/>
      <c r="Z106" s="65"/>
      <c r="AA106" s="65"/>
    </row>
    <row r="107" spans="5:27" hidden="1" x14ac:dyDescent="0.25">
      <c r="E107" s="52"/>
      <c r="F107" s="50"/>
      <c r="G107" s="50"/>
      <c r="H107" s="50"/>
      <c r="I107" s="50"/>
      <c r="J107" s="50"/>
      <c r="K107" s="50"/>
      <c r="L107" s="50"/>
      <c r="M107" s="50"/>
      <c r="N107" s="50"/>
      <c r="O107" s="50"/>
      <c r="P107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7" s="79"/>
      <c r="R107" s="79"/>
      <c r="S107" s="79"/>
      <c r="T107" s="50"/>
      <c r="U107" s="50"/>
      <c r="V107" s="50"/>
      <c r="W107" s="2"/>
      <c r="X107" s="44"/>
      <c r="Y107" s="65"/>
      <c r="Z107" s="65"/>
      <c r="AA107" s="65"/>
    </row>
    <row r="108" spans="5:27" hidden="1" x14ac:dyDescent="0.25">
      <c r="E108" s="52"/>
      <c r="F108" s="50"/>
      <c r="G108" s="50"/>
      <c r="H108" s="50"/>
      <c r="I108" s="50"/>
      <c r="J108" s="50"/>
      <c r="K108" s="50"/>
      <c r="L108" s="50"/>
      <c r="M108" s="50"/>
      <c r="N108" s="50"/>
      <c r="O108" s="50"/>
      <c r="P108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8" s="79"/>
      <c r="R108" s="79"/>
      <c r="S108" s="79"/>
      <c r="T108" s="50"/>
      <c r="U108" s="50"/>
      <c r="V108" s="50"/>
      <c r="W108" s="2"/>
      <c r="X108" s="44"/>
      <c r="Y108" s="65"/>
      <c r="Z108" s="65"/>
      <c r="AA108" s="65"/>
    </row>
    <row r="109" spans="5:27" hidden="1" x14ac:dyDescent="0.25">
      <c r="E109" s="53"/>
      <c r="F109" s="54"/>
      <c r="G109" s="54"/>
      <c r="H109" s="54"/>
      <c r="I109" s="54"/>
      <c r="J109" s="54"/>
      <c r="K109" s="54"/>
      <c r="L109" s="54"/>
      <c r="M109" s="54"/>
      <c r="N109" s="54"/>
      <c r="O109" s="54"/>
      <c r="P109" s="79" t="e">
        <f>Table1[[#This Row],[I_Valley_Set]]+(Table1[[#This Row],[I_Step-1]]-Table1[[#This Row],[I_Valley_Set]])*Table1[[#This Row],[T-step'[ms']]]/Table1[[#This Row],[T-Measured'[ms']]]+0.5*Table1[[#This Row],[T-rise'[ms']]]*(Table1[[#This Row],[I-Peak-ist'[A']]]-Table1[[#This Row],[I_Step-1]])/Table1[[#This Row],[T-Measured'[ms']]]+(Table1[[#This Row],[I-Peak-ist'[A']]]-Table1[[#This Row],[I_Valley_Set]])*Table1[[#This Row],[T_Peak'[ms']]]/Table1[[#This Row],[T-Measured'[ms']]]+0.5*Table1[[#This Row],[T-Fall'[ms']]]*(Table1[[#This Row],[I-Peak-ist'[A']]]-Table1[[#This Row],[I_Valley_Set]])/Table1[[#This Row],[T-Measured'[ms']]]</f>
        <v>#DIV/0!</v>
      </c>
      <c r="Q109" s="79"/>
      <c r="R109" s="79"/>
      <c r="S109" s="79"/>
      <c r="T109" s="54"/>
      <c r="U109" s="54"/>
      <c r="V109" s="54"/>
      <c r="W109" s="55"/>
      <c r="X109" s="68"/>
      <c r="Y109" s="69"/>
      <c r="Z109" s="69"/>
      <c r="AA109" s="65"/>
    </row>
    <row r="110" spans="5:27" x14ac:dyDescent="0.25">
      <c r="E110" s="53"/>
      <c r="F110" s="54"/>
      <c r="G110" s="54"/>
      <c r="H110" s="54"/>
      <c r="I110" s="54"/>
      <c r="J110" s="54"/>
      <c r="K110" s="54"/>
      <c r="L110" s="54"/>
      <c r="M110" s="54"/>
      <c r="N110" s="54"/>
      <c r="O110" s="54"/>
      <c r="P110" s="63"/>
      <c r="Q110" s="63"/>
      <c r="R110" s="63"/>
      <c r="S110" s="63"/>
      <c r="T110" s="54"/>
      <c r="U110" s="54"/>
      <c r="V110" s="54"/>
      <c r="W110" s="55"/>
      <c r="X110" s="68"/>
      <c r="Y110" s="69"/>
      <c r="Z110" s="97"/>
      <c r="AA110" s="97"/>
    </row>
    <row r="121" spans="2:10" x14ac:dyDescent="0.25">
      <c r="B121" t="s">
        <v>334</v>
      </c>
    </row>
    <row r="122" spans="2:10" x14ac:dyDescent="0.25">
      <c r="E122" s="113">
        <v>1</v>
      </c>
    </row>
    <row r="123" spans="2:10" x14ac:dyDescent="0.25">
      <c r="F123" s="106" t="s">
        <v>135</v>
      </c>
      <c r="G123" s="106" t="s">
        <v>347</v>
      </c>
      <c r="H123" s="106" t="s">
        <v>133</v>
      </c>
      <c r="I123" s="106" t="s">
        <v>345</v>
      </c>
      <c r="J123" s="130" t="s">
        <v>367</v>
      </c>
    </row>
    <row r="124" spans="2:10" x14ac:dyDescent="0.25">
      <c r="F124" s="102"/>
      <c r="G124" s="2"/>
      <c r="H124" s="102"/>
      <c r="I124" s="2"/>
      <c r="J124" s="2">
        <v>20</v>
      </c>
    </row>
    <row r="125" spans="2:10" x14ac:dyDescent="0.25">
      <c r="F125" s="102"/>
      <c r="G125" s="2"/>
      <c r="H125" s="102"/>
      <c r="I125" s="2"/>
      <c r="J125" s="2">
        <v>20</v>
      </c>
    </row>
    <row r="126" spans="2:10" x14ac:dyDescent="0.25">
      <c r="F126" s="102"/>
      <c r="G126" s="2"/>
      <c r="H126" s="102"/>
      <c r="I126" s="2"/>
      <c r="J126" s="2">
        <v>20</v>
      </c>
    </row>
    <row r="127" spans="2:10" x14ac:dyDescent="0.25">
      <c r="F127" s="105">
        <v>3.6</v>
      </c>
      <c r="G127" s="2">
        <f>'Wire Feed Speed Table'!$F$20*'Ramp1,2 Test'!F127+'Wire Feed Speed Table'!$F$21</f>
        <v>202.74197922868291</v>
      </c>
      <c r="H127" s="131">
        <f>58*10/11</f>
        <v>52.727272727272727</v>
      </c>
      <c r="I127" s="2"/>
      <c r="J127" s="2">
        <v>20</v>
      </c>
    </row>
    <row r="128" spans="2:10" x14ac:dyDescent="0.25">
      <c r="F128" s="102">
        <v>4</v>
      </c>
      <c r="G128" s="2">
        <f>'Wire Feed Speed Table'!$F$20*'Ramp1,2 Test'!F128+'Wire Feed Speed Table'!$F$21</f>
        <v>233.19187008004229</v>
      </c>
      <c r="H128" s="132">
        <f>64*10/11</f>
        <v>58.18181818181818</v>
      </c>
      <c r="I128" s="104">
        <v>49</v>
      </c>
      <c r="J128" s="2">
        <v>20</v>
      </c>
    </row>
    <row r="129" spans="6:11" x14ac:dyDescent="0.25">
      <c r="F129" s="102">
        <v>4.4000000000000004</v>
      </c>
      <c r="G129" s="2">
        <f>'Wire Feed Speed Table'!$F$20*'Ramp1,2 Test'!F129+'Wire Feed Speed Table'!$F$21</f>
        <v>263.64176093140173</v>
      </c>
      <c r="H129" s="132">
        <f>70*10/11</f>
        <v>63.636363636363633</v>
      </c>
      <c r="I129" s="104">
        <v>57</v>
      </c>
      <c r="J129" s="2">
        <v>20</v>
      </c>
    </row>
    <row r="130" spans="6:11" x14ac:dyDescent="0.25">
      <c r="F130" s="102">
        <v>4.8</v>
      </c>
      <c r="G130" s="2">
        <f>'Wire Feed Speed Table'!$F$20*'Ramp1,2 Test'!F130+'Wire Feed Speed Table'!$F$21</f>
        <v>294.09165178276106</v>
      </c>
      <c r="H130" s="132">
        <f>77*10/11</f>
        <v>70</v>
      </c>
      <c r="I130" s="104">
        <v>63</v>
      </c>
      <c r="J130" s="2">
        <v>20</v>
      </c>
    </row>
    <row r="131" spans="6:11" x14ac:dyDescent="0.25">
      <c r="F131" s="102">
        <v>5.2</v>
      </c>
      <c r="G131" s="2">
        <f>'Wire Feed Speed Table'!$F$20*'Ramp1,2 Test'!F131+'Wire Feed Speed Table'!$F$21</f>
        <v>324.5415426341205</v>
      </c>
      <c r="H131" s="104">
        <f>82*10/11</f>
        <v>74.545454545454547</v>
      </c>
      <c r="I131" s="104"/>
      <c r="J131" s="2">
        <v>20</v>
      </c>
    </row>
    <row r="132" spans="6:11" x14ac:dyDescent="0.25">
      <c r="F132" s="77">
        <v>5.6</v>
      </c>
      <c r="G132" s="2">
        <f>'Wire Feed Speed Table'!$F$20*'Ramp1,2 Test'!F132+'Wire Feed Speed Table'!$F$21</f>
        <v>354.99143348547983</v>
      </c>
      <c r="H132" s="132">
        <f>88*10/11</f>
        <v>80</v>
      </c>
      <c r="I132" s="101">
        <v>70</v>
      </c>
      <c r="J132" s="2">
        <v>20</v>
      </c>
    </row>
    <row r="133" spans="6:11" x14ac:dyDescent="0.25">
      <c r="F133" s="103">
        <v>6</v>
      </c>
      <c r="G133" s="2">
        <f>'Wire Feed Speed Table'!$F$20*'Ramp1,2 Test'!F133+'Wire Feed Speed Table'!$F$21</f>
        <v>385.44132433683927</v>
      </c>
      <c r="H133" s="132">
        <f>92*10/11</f>
        <v>83.63636363636364</v>
      </c>
      <c r="I133" s="101"/>
      <c r="J133" s="2">
        <v>20</v>
      </c>
    </row>
    <row r="134" spans="6:11" x14ac:dyDescent="0.25">
      <c r="F134" s="103">
        <v>6.4</v>
      </c>
      <c r="G134" s="2">
        <f>'Wire Feed Speed Table'!$F$20*'Ramp1,2 Test'!F134+'Wire Feed Speed Table'!$F$21</f>
        <v>415.89121518819871</v>
      </c>
      <c r="H134" s="132">
        <v>93</v>
      </c>
      <c r="I134" s="101">
        <v>79</v>
      </c>
      <c r="J134" s="2">
        <v>20</v>
      </c>
    </row>
    <row r="135" spans="6:11" x14ac:dyDescent="0.25">
      <c r="F135" s="77">
        <v>6.5</v>
      </c>
      <c r="G135" s="2">
        <f>'Wire Feed Speed Table'!$F$20*'Ramp1,2 Test'!F135+'Wire Feed Speed Table'!$F$21</f>
        <v>423.50368790103852</v>
      </c>
      <c r="H135" s="132">
        <f>104*10/11</f>
        <v>94.545454545454547</v>
      </c>
      <c r="I135" s="101"/>
      <c r="J135" s="2">
        <v>20</v>
      </c>
    </row>
    <row r="136" spans="6:11" x14ac:dyDescent="0.25">
      <c r="F136" s="77">
        <v>6.8</v>
      </c>
      <c r="G136" s="2">
        <f>'Wire Feed Speed Table'!$F$20*'Ramp1,2 Test'!F136+'Wire Feed Speed Table'!$F$21</f>
        <v>446.34110603955804</v>
      </c>
      <c r="H136" s="132">
        <f>110*10/11</f>
        <v>100</v>
      </c>
      <c r="I136" s="101">
        <v>85</v>
      </c>
      <c r="J136" s="2">
        <v>20</v>
      </c>
    </row>
    <row r="137" spans="6:11" x14ac:dyDescent="0.25">
      <c r="F137" s="102">
        <v>7</v>
      </c>
      <c r="G137" s="2">
        <f>'Wire Feed Speed Table'!$F$20*'Ramp1,2 Test'!F137+'Wire Feed Speed Table'!$F$21</f>
        <v>461.56605146523776</v>
      </c>
      <c r="H137" s="132">
        <f>112*10/11</f>
        <v>101.81818181818181</v>
      </c>
      <c r="I137" s="104"/>
      <c r="J137" s="2">
        <v>20</v>
      </c>
    </row>
    <row r="138" spans="6:11" x14ac:dyDescent="0.25">
      <c r="F138" s="102">
        <v>7.2</v>
      </c>
      <c r="G138" s="2">
        <f>'Wire Feed Speed Table'!$F$20*'Ramp1,2 Test'!F138+'Wire Feed Speed Table'!$F$21</f>
        <v>476.79099689091748</v>
      </c>
      <c r="H138" s="104">
        <v>104</v>
      </c>
      <c r="I138" s="104">
        <v>87.5</v>
      </c>
      <c r="J138" s="2">
        <v>20</v>
      </c>
    </row>
    <row r="139" spans="6:11" x14ac:dyDescent="0.25">
      <c r="F139" s="102">
        <v>7.6</v>
      </c>
      <c r="G139" s="2">
        <f>'Wire Feed Speed Table'!$F$20*'Ramp1,2 Test'!F139+'Wire Feed Speed Table'!$F$21</f>
        <v>507.24088774227681</v>
      </c>
      <c r="H139" s="104">
        <f>120*10/11</f>
        <v>109.09090909090909</v>
      </c>
      <c r="I139" s="101"/>
      <c r="J139" s="2">
        <v>20</v>
      </c>
    </row>
    <row r="140" spans="6:11" x14ac:dyDescent="0.25">
      <c r="F140" s="77">
        <v>8</v>
      </c>
      <c r="G140" s="2">
        <f>'Wire Feed Speed Table'!$F$20*'Ramp1,2 Test'!F140+'Wire Feed Speed Table'!$F$21</f>
        <v>537.6907785936362</v>
      </c>
      <c r="H140" s="104">
        <f>130*10/11</f>
        <v>118.18181818181819</v>
      </c>
      <c r="I140" s="101"/>
      <c r="J140" s="2">
        <v>20</v>
      </c>
    </row>
    <row r="141" spans="6:11" ht="15.75" thickBot="1" x14ac:dyDescent="0.3"/>
    <row r="142" spans="6:11" ht="21.75" thickBot="1" x14ac:dyDescent="0.4">
      <c r="F142" s="123" t="s">
        <v>361</v>
      </c>
      <c r="G142" s="125">
        <f>INTERCEPT(H127:H140,G127:G140)</f>
        <v>12.860369132326028</v>
      </c>
      <c r="H142" s="126" t="s">
        <v>348</v>
      </c>
      <c r="I142" s="127">
        <f>SLOPE(H127:H140,G127:G140)</f>
        <v>0.19207630762130892</v>
      </c>
      <c r="J142" s="124" t="s">
        <v>349</v>
      </c>
      <c r="K142" s="112"/>
    </row>
    <row r="160" spans="5:6" ht="18.75" x14ac:dyDescent="0.3">
      <c r="E160" s="113">
        <v>2</v>
      </c>
      <c r="F160" s="46" t="s">
        <v>360</v>
      </c>
    </row>
    <row r="161" spans="5:28" x14ac:dyDescent="0.25">
      <c r="H161" s="118">
        <v>86</v>
      </c>
      <c r="I161" s="118" t="s">
        <v>3</v>
      </c>
    </row>
    <row r="171" spans="5:28" ht="26.25" x14ac:dyDescent="0.4">
      <c r="E171" s="120" t="s">
        <v>350</v>
      </c>
      <c r="F171" s="120"/>
    </row>
    <row r="172" spans="5:28" x14ac:dyDescent="0.25">
      <c r="E172" t="s">
        <v>355</v>
      </c>
    </row>
    <row r="173" spans="5:28" x14ac:dyDescent="0.25">
      <c r="E173" t="s">
        <v>370</v>
      </c>
    </row>
    <row r="174" spans="5:28" x14ac:dyDescent="0.25">
      <c r="E174" s="106" t="s">
        <v>351</v>
      </c>
      <c r="F174" s="106" t="s">
        <v>352</v>
      </c>
      <c r="G174" s="106" t="s">
        <v>133</v>
      </c>
      <c r="H174" s="106" t="s">
        <v>134</v>
      </c>
      <c r="I174" s="106" t="s">
        <v>143</v>
      </c>
      <c r="J174" s="106" t="s">
        <v>144</v>
      </c>
      <c r="K174" s="106" t="s">
        <v>145</v>
      </c>
      <c r="L174" s="106" t="s">
        <v>148</v>
      </c>
      <c r="M174" s="106" t="s">
        <v>146</v>
      </c>
      <c r="N174" s="106" t="s">
        <v>147</v>
      </c>
      <c r="O174" s="106" t="s">
        <v>139</v>
      </c>
      <c r="P174" s="106"/>
      <c r="Q174" s="106" t="s">
        <v>149</v>
      </c>
      <c r="R174" s="106" t="s">
        <v>363</v>
      </c>
      <c r="S174" s="106" t="s">
        <v>256</v>
      </c>
      <c r="T174" s="106" t="s">
        <v>338</v>
      </c>
      <c r="U174" s="106" t="s">
        <v>306</v>
      </c>
      <c r="V174" s="106"/>
      <c r="W174" s="106"/>
      <c r="X174" s="106"/>
      <c r="Y174" s="106"/>
      <c r="Z174" s="106"/>
      <c r="AA174" s="106"/>
      <c r="AB174" s="106"/>
    </row>
    <row r="175" spans="5:28" x14ac:dyDescent="0.25">
      <c r="E175" s="2">
        <v>3.6</v>
      </c>
      <c r="F175" s="3">
        <f>'Wire Feed Speed Table'!$F$20*'Ramp1,2 Test'!E175+'Wire Feed Speed Table'!$F$21</f>
        <v>202.74197922868291</v>
      </c>
      <c r="G175" s="115">
        <f t="shared" ref="G175:G181" si="0">$G$142+$I$142*F175</f>
        <v>51.802299902407547</v>
      </c>
      <c r="H175" s="114">
        <f>G175-T175+$H$161</f>
        <v>137.80229990240755</v>
      </c>
      <c r="I175" s="2">
        <v>1.5</v>
      </c>
      <c r="J175" s="2">
        <v>6</v>
      </c>
      <c r="K175" s="3">
        <f>205*10/11</f>
        <v>186.36363636363637</v>
      </c>
      <c r="L175" s="2">
        <v>1.6</v>
      </c>
      <c r="M175" s="2">
        <v>184</v>
      </c>
      <c r="N175" s="2">
        <v>4.4000000000000004</v>
      </c>
      <c r="O175" s="136">
        <v>50</v>
      </c>
      <c r="P175" s="136"/>
      <c r="Q175" s="2">
        <v>1700</v>
      </c>
      <c r="R175" s="114">
        <f>G175-(0.5*T175)</f>
        <v>51.802299902407547</v>
      </c>
      <c r="S175" s="2">
        <v>12.5</v>
      </c>
      <c r="T175" s="2">
        <v>0</v>
      </c>
      <c r="U175" s="2"/>
      <c r="V175" s="2"/>
      <c r="W175" s="2"/>
      <c r="X175" s="2"/>
      <c r="Y175" s="2"/>
      <c r="Z175" s="2"/>
      <c r="AA175" s="2"/>
      <c r="AB175" s="2"/>
    </row>
    <row r="176" spans="5:28" x14ac:dyDescent="0.25">
      <c r="E176" s="2">
        <v>4</v>
      </c>
      <c r="F176" s="3">
        <f>'Wire Feed Speed Table'!$F$20*'Ramp1,2 Test'!E176+'Wire Feed Speed Table'!$F$21</f>
        <v>233.19187008004229</v>
      </c>
      <c r="G176" s="115">
        <f t="shared" si="0"/>
        <v>57.651002504608535</v>
      </c>
      <c r="H176" s="114">
        <f t="shared" ref="H176:H186" si="1">G176-T176+$H$161</f>
        <v>141.83282068642671</v>
      </c>
      <c r="I176" s="2">
        <v>1.5</v>
      </c>
      <c r="J176" s="2">
        <v>6</v>
      </c>
      <c r="K176" s="3">
        <f t="shared" ref="K176:K186" si="2">205*10/11</f>
        <v>186.36363636363637</v>
      </c>
      <c r="L176" s="2">
        <v>1.6</v>
      </c>
      <c r="M176" s="2">
        <v>184</v>
      </c>
      <c r="N176" s="2">
        <v>4.4000000000000004</v>
      </c>
      <c r="O176" s="136">
        <v>50</v>
      </c>
      <c r="P176" s="136"/>
      <c r="Q176" s="2">
        <v>1700</v>
      </c>
      <c r="R176" s="114">
        <f t="shared" ref="R176:R186" si="3">G176-(0.5*T176)</f>
        <v>56.741911595517628</v>
      </c>
      <c r="S176" s="2">
        <v>12.5</v>
      </c>
      <c r="T176" s="114">
        <f>2*10/11</f>
        <v>1.8181818181818181</v>
      </c>
      <c r="U176" s="2"/>
      <c r="V176" s="2"/>
      <c r="W176" s="2"/>
      <c r="X176" s="2"/>
      <c r="Y176" s="2"/>
      <c r="Z176" s="2"/>
      <c r="AA176" s="2"/>
      <c r="AB176" s="2"/>
    </row>
    <row r="177" spans="5:28" x14ac:dyDescent="0.25">
      <c r="E177" s="2">
        <v>4.4000000000000004</v>
      </c>
      <c r="F177" s="3">
        <f>'Wire Feed Speed Table'!$F$20*'Ramp1,2 Test'!E177+'Wire Feed Speed Table'!$F$21</f>
        <v>263.64176093140173</v>
      </c>
      <c r="G177" s="115">
        <f t="shared" si="0"/>
        <v>63.499705106809529</v>
      </c>
      <c r="H177" s="114">
        <f t="shared" si="1"/>
        <v>145.8633414704459</v>
      </c>
      <c r="I177" s="2">
        <v>1.5</v>
      </c>
      <c r="J177" s="2">
        <v>6</v>
      </c>
      <c r="K177" s="3">
        <f t="shared" si="2"/>
        <v>186.36363636363637</v>
      </c>
      <c r="L177" s="2">
        <v>1.6</v>
      </c>
      <c r="M177" s="2">
        <v>184</v>
      </c>
      <c r="N177" s="2">
        <v>4.4000000000000004</v>
      </c>
      <c r="O177" s="136">
        <v>50</v>
      </c>
      <c r="P177" s="136"/>
      <c r="Q177" s="2">
        <v>1700</v>
      </c>
      <c r="R177" s="114">
        <f t="shared" si="3"/>
        <v>61.681523288627709</v>
      </c>
      <c r="S177" s="2">
        <v>12.5</v>
      </c>
      <c r="T177" s="114">
        <f>4*10/11</f>
        <v>3.6363636363636362</v>
      </c>
      <c r="U177" s="2"/>
      <c r="V177" s="2"/>
      <c r="W177" s="2"/>
      <c r="X177" s="2"/>
      <c r="Y177" s="2"/>
      <c r="Z177" s="2"/>
      <c r="AA177" s="2"/>
      <c r="AB177" s="2"/>
    </row>
    <row r="178" spans="5:28" x14ac:dyDescent="0.25">
      <c r="E178" s="2">
        <v>4.8</v>
      </c>
      <c r="F178" s="3">
        <f>'Wire Feed Speed Table'!$F$20*'Ramp1,2 Test'!E178+'Wire Feed Speed Table'!$F$21</f>
        <v>294.09165178276106</v>
      </c>
      <c r="G178" s="114">
        <f t="shared" si="0"/>
        <v>69.348407709010502</v>
      </c>
      <c r="H178" s="114">
        <f t="shared" si="1"/>
        <v>149.89386225446503</v>
      </c>
      <c r="I178" s="2">
        <v>1.5</v>
      </c>
      <c r="J178" s="2">
        <v>6</v>
      </c>
      <c r="K178" s="3">
        <f t="shared" si="2"/>
        <v>186.36363636363637</v>
      </c>
      <c r="L178" s="2">
        <v>1.6</v>
      </c>
      <c r="M178" s="2">
        <v>184</v>
      </c>
      <c r="N178" s="2">
        <v>4.4000000000000004</v>
      </c>
      <c r="O178" s="136">
        <v>50</v>
      </c>
      <c r="P178" s="136"/>
      <c r="Q178" s="2">
        <v>1700</v>
      </c>
      <c r="R178" s="114">
        <f t="shared" si="3"/>
        <v>66.621134981737768</v>
      </c>
      <c r="S178" s="2">
        <v>12.5</v>
      </c>
      <c r="T178" s="114">
        <f>6*10/11</f>
        <v>5.4545454545454541</v>
      </c>
      <c r="U178" s="2"/>
      <c r="V178" s="2"/>
      <c r="W178" s="2"/>
      <c r="X178" s="2"/>
      <c r="Y178" s="2"/>
      <c r="Z178" s="2"/>
      <c r="AA178" s="2"/>
      <c r="AB178" s="2"/>
    </row>
    <row r="179" spans="5:28" x14ac:dyDescent="0.25">
      <c r="E179" s="2">
        <v>5.2</v>
      </c>
      <c r="F179" s="3">
        <f>'Wire Feed Speed Table'!$F$20*'Ramp1,2 Test'!E179+'Wire Feed Speed Table'!$F$21</f>
        <v>324.5415426341205</v>
      </c>
      <c r="G179" s="114">
        <f t="shared" si="0"/>
        <v>75.197110311211503</v>
      </c>
      <c r="H179" s="114">
        <f t="shared" si="1"/>
        <v>153.92438303848422</v>
      </c>
      <c r="I179" s="2">
        <v>1.5</v>
      </c>
      <c r="J179" s="2">
        <v>6</v>
      </c>
      <c r="K179" s="3">
        <f t="shared" si="2"/>
        <v>186.36363636363637</v>
      </c>
      <c r="L179" s="2">
        <v>1.6</v>
      </c>
      <c r="M179" s="2">
        <v>184</v>
      </c>
      <c r="N179" s="2">
        <v>4.4000000000000004</v>
      </c>
      <c r="O179" s="136">
        <v>50</v>
      </c>
      <c r="P179" s="136"/>
      <c r="Q179" s="2">
        <v>1700</v>
      </c>
      <c r="R179" s="114">
        <f t="shared" si="3"/>
        <v>71.560746674847863</v>
      </c>
      <c r="S179" s="2">
        <v>12.5</v>
      </c>
      <c r="T179" s="114">
        <f>8*10/11</f>
        <v>7.2727272727272725</v>
      </c>
      <c r="U179" s="2"/>
      <c r="V179" s="2"/>
      <c r="W179" s="2"/>
      <c r="X179" s="2"/>
      <c r="Y179" s="2"/>
      <c r="Z179" s="2"/>
      <c r="AA179" s="2"/>
      <c r="AB179" s="2"/>
    </row>
    <row r="180" spans="5:28" x14ac:dyDescent="0.25">
      <c r="E180" s="2">
        <v>5.6</v>
      </c>
      <c r="F180" s="3">
        <f>'Wire Feed Speed Table'!$F$20*'Ramp1,2 Test'!E180+'Wire Feed Speed Table'!$F$21</f>
        <v>354.99143348547983</v>
      </c>
      <c r="G180" s="114">
        <f t="shared" si="0"/>
        <v>81.045812913412476</v>
      </c>
      <c r="H180" s="114">
        <f t="shared" si="1"/>
        <v>157.95490382250338</v>
      </c>
      <c r="I180" s="2">
        <v>1.5</v>
      </c>
      <c r="J180" s="2">
        <v>6</v>
      </c>
      <c r="K180" s="3">
        <f t="shared" si="2"/>
        <v>186.36363636363637</v>
      </c>
      <c r="L180" s="2">
        <v>1.6</v>
      </c>
      <c r="M180" s="2">
        <v>184</v>
      </c>
      <c r="N180" s="2">
        <v>4.4000000000000004</v>
      </c>
      <c r="O180" s="136">
        <v>50</v>
      </c>
      <c r="P180" s="136"/>
      <c r="Q180" s="2">
        <v>1700</v>
      </c>
      <c r="R180" s="114">
        <f t="shared" si="3"/>
        <v>76.500358367957929</v>
      </c>
      <c r="S180" s="2">
        <v>12.5</v>
      </c>
      <c r="T180" s="114">
        <f>10*10/11</f>
        <v>9.0909090909090917</v>
      </c>
      <c r="U180" s="2"/>
      <c r="V180" s="14"/>
      <c r="W180" s="2"/>
      <c r="X180" s="2"/>
      <c r="Y180" s="2"/>
      <c r="Z180" s="2"/>
      <c r="AA180" s="2"/>
      <c r="AB180" s="2"/>
    </row>
    <row r="181" spans="5:28" x14ac:dyDescent="0.25">
      <c r="E181" s="2">
        <v>6</v>
      </c>
      <c r="F181" s="3">
        <f>'Wire Feed Speed Table'!$F$20*'Ramp1,2 Test'!E181+'Wire Feed Speed Table'!$F$21</f>
        <v>385.44132433683927</v>
      </c>
      <c r="G181" s="114">
        <f t="shared" si="0"/>
        <v>86.894515515613477</v>
      </c>
      <c r="H181" s="114">
        <f t="shared" si="1"/>
        <v>161.98542460652257</v>
      </c>
      <c r="I181" s="2">
        <v>1.5</v>
      </c>
      <c r="J181" s="2">
        <v>6</v>
      </c>
      <c r="K181" s="3">
        <f t="shared" si="2"/>
        <v>186.36363636363637</v>
      </c>
      <c r="L181" s="2">
        <v>1.6</v>
      </c>
      <c r="M181" s="2">
        <v>184</v>
      </c>
      <c r="N181" s="2">
        <v>4.4000000000000004</v>
      </c>
      <c r="O181" s="136">
        <v>50</v>
      </c>
      <c r="P181" s="136"/>
      <c r="Q181" s="2">
        <v>1700</v>
      </c>
      <c r="R181" s="114">
        <f t="shared" si="3"/>
        <v>81.439970061068024</v>
      </c>
      <c r="S181" s="2">
        <v>12.5</v>
      </c>
      <c r="T181" s="114">
        <f>12*10/11</f>
        <v>10.909090909090908</v>
      </c>
      <c r="U181" s="2"/>
      <c r="V181" s="2"/>
      <c r="W181" s="2"/>
      <c r="X181" s="2"/>
      <c r="Y181" s="2"/>
      <c r="Z181" s="2"/>
      <c r="AA181" s="2"/>
      <c r="AB181" s="2"/>
    </row>
    <row r="182" spans="5:28" x14ac:dyDescent="0.25">
      <c r="E182" s="14">
        <v>6.4</v>
      </c>
      <c r="F182" s="116">
        <f>'Wire Feed Speed Table'!$F$20*'Ramp1,2 Test'!E182+'Wire Feed Speed Table'!$F$21</f>
        <v>415.89121518819871</v>
      </c>
      <c r="G182" s="119">
        <f t="shared" ref="G182:G186" si="4">$G$142+$I$142*F182</f>
        <v>92.743218117814465</v>
      </c>
      <c r="H182" s="114">
        <f t="shared" si="1"/>
        <v>166.01594539054173</v>
      </c>
      <c r="I182" s="14">
        <v>1.5</v>
      </c>
      <c r="J182" s="14">
        <v>6</v>
      </c>
      <c r="K182" s="3">
        <f t="shared" si="2"/>
        <v>186.36363636363637</v>
      </c>
      <c r="L182" s="14">
        <v>1.6</v>
      </c>
      <c r="M182" s="14">
        <v>184</v>
      </c>
      <c r="N182" s="14">
        <v>4.4000000000000004</v>
      </c>
      <c r="O182" s="135">
        <v>50</v>
      </c>
      <c r="P182" s="135"/>
      <c r="Q182" s="14">
        <v>1700</v>
      </c>
      <c r="R182" s="114">
        <f t="shared" si="3"/>
        <v>86.379581754178105</v>
      </c>
      <c r="S182" s="14">
        <v>12.5</v>
      </c>
      <c r="T182" s="119">
        <f>14*10/11</f>
        <v>12.727272727272727</v>
      </c>
      <c r="U182" s="14"/>
      <c r="V182" s="14"/>
      <c r="W182" s="2"/>
      <c r="X182" s="2"/>
      <c r="Y182" s="2"/>
      <c r="Z182" s="2"/>
      <c r="AA182" s="2"/>
      <c r="AB182" s="2"/>
    </row>
    <row r="183" spans="5:28" x14ac:dyDescent="0.25">
      <c r="E183" s="2">
        <v>6.8</v>
      </c>
      <c r="F183" s="3">
        <f>'Wire Feed Speed Table'!$F$20*'Ramp1,2 Test'!E183+'Wire Feed Speed Table'!$F$21</f>
        <v>446.34110603955804</v>
      </c>
      <c r="G183" s="114">
        <f t="shared" si="4"/>
        <v>98.591920720015437</v>
      </c>
      <c r="H183" s="114">
        <f t="shared" si="1"/>
        <v>171.8646479927427</v>
      </c>
      <c r="I183" s="2">
        <v>1.5</v>
      </c>
      <c r="J183" s="2">
        <v>6</v>
      </c>
      <c r="K183" s="3">
        <f t="shared" si="2"/>
        <v>186.36363636363637</v>
      </c>
      <c r="L183" s="2">
        <v>1.6</v>
      </c>
      <c r="M183" s="2">
        <v>184</v>
      </c>
      <c r="N183" s="2">
        <v>4.4000000000000004</v>
      </c>
      <c r="O183" s="136">
        <v>50</v>
      </c>
      <c r="P183" s="136"/>
      <c r="Q183" s="2">
        <v>1700</v>
      </c>
      <c r="R183" s="114">
        <f t="shared" si="3"/>
        <v>92.228284356379078</v>
      </c>
      <c r="S183" s="2">
        <v>12.5</v>
      </c>
      <c r="T183" s="114">
        <f>14*10/11</f>
        <v>12.727272727272727</v>
      </c>
      <c r="U183" s="2"/>
      <c r="V183" s="2"/>
      <c r="W183" s="2"/>
      <c r="X183" s="2"/>
      <c r="Y183" s="2"/>
      <c r="Z183" s="2"/>
      <c r="AA183" s="2"/>
      <c r="AB183" s="2"/>
    </row>
    <row r="184" spans="5:28" x14ac:dyDescent="0.25">
      <c r="E184" s="2">
        <v>7.2</v>
      </c>
      <c r="F184" s="3">
        <f>'Wire Feed Speed Table'!$F$20*'Ramp1,2 Test'!E184+'Wire Feed Speed Table'!$F$21</f>
        <v>476.79099689091748</v>
      </c>
      <c r="G184" s="114">
        <f t="shared" si="4"/>
        <v>104.44062332221644</v>
      </c>
      <c r="H184" s="114">
        <f t="shared" si="1"/>
        <v>175.89516877676189</v>
      </c>
      <c r="I184" s="2">
        <v>1.5</v>
      </c>
      <c r="J184" s="2">
        <v>6</v>
      </c>
      <c r="K184" s="3">
        <f t="shared" si="2"/>
        <v>186.36363636363637</v>
      </c>
      <c r="L184" s="2">
        <v>1.6</v>
      </c>
      <c r="M184" s="2">
        <v>184</v>
      </c>
      <c r="N184" s="2">
        <v>4.4000000000000004</v>
      </c>
      <c r="O184" s="136">
        <v>50</v>
      </c>
      <c r="P184" s="136"/>
      <c r="Q184" s="2">
        <v>1900</v>
      </c>
      <c r="R184" s="114">
        <f t="shared" si="3"/>
        <v>97.167896049489173</v>
      </c>
      <c r="S184" s="2">
        <v>12.5</v>
      </c>
      <c r="T184" s="114">
        <f>16*10/11</f>
        <v>14.545454545454545</v>
      </c>
      <c r="U184" s="2"/>
      <c r="V184" s="2"/>
      <c r="W184" s="2"/>
      <c r="X184" s="2"/>
      <c r="Y184" s="2"/>
      <c r="Z184" s="2"/>
      <c r="AA184" s="2"/>
      <c r="AB184" s="2"/>
    </row>
    <row r="185" spans="5:28" x14ac:dyDescent="0.25">
      <c r="E185" s="2">
        <v>7.6</v>
      </c>
      <c r="F185" s="3">
        <f>'Wire Feed Speed Table'!$F$20*'Ramp1,2 Test'!E185+'Wire Feed Speed Table'!$F$21</f>
        <v>507.24088774227681</v>
      </c>
      <c r="G185" s="114">
        <f t="shared" si="4"/>
        <v>110.28932592441741</v>
      </c>
      <c r="H185" s="114">
        <f t="shared" si="1"/>
        <v>179.92568956078105</v>
      </c>
      <c r="I185" s="2">
        <v>1.5</v>
      </c>
      <c r="J185" s="2">
        <v>6</v>
      </c>
      <c r="K185" s="3">
        <f t="shared" si="2"/>
        <v>186.36363636363637</v>
      </c>
      <c r="L185" s="2">
        <v>1.6</v>
      </c>
      <c r="M185" s="2">
        <v>184</v>
      </c>
      <c r="N185" s="2">
        <v>4.4000000000000004</v>
      </c>
      <c r="O185" s="136">
        <v>50</v>
      </c>
      <c r="P185" s="136"/>
      <c r="Q185" s="2">
        <v>1900</v>
      </c>
      <c r="R185" s="114">
        <f t="shared" si="3"/>
        <v>102.10750774259922</v>
      </c>
      <c r="S185" s="2">
        <v>12.5</v>
      </c>
      <c r="T185" s="114">
        <f>18*10/11</f>
        <v>16.363636363636363</v>
      </c>
      <c r="U185" s="2"/>
      <c r="V185" s="2"/>
      <c r="W185" s="2"/>
      <c r="X185" s="2"/>
      <c r="Y185" s="2"/>
      <c r="Z185" s="2"/>
      <c r="AA185" s="2"/>
      <c r="AB185" s="2"/>
    </row>
    <row r="186" spans="5:28" x14ac:dyDescent="0.25">
      <c r="E186" s="2">
        <v>8</v>
      </c>
      <c r="F186" s="3">
        <f>'Wire Feed Speed Table'!$F$20*'Ramp1,2 Test'!E186+'Wire Feed Speed Table'!$F$21</f>
        <v>537.6907785936362</v>
      </c>
      <c r="G186" s="114">
        <f t="shared" si="4"/>
        <v>116.1380285266184</v>
      </c>
      <c r="H186" s="114">
        <f t="shared" si="1"/>
        <v>176.68348307207293</v>
      </c>
      <c r="I186" s="2">
        <v>1.5</v>
      </c>
      <c r="J186" s="2">
        <v>6</v>
      </c>
      <c r="K186" s="3">
        <f t="shared" si="2"/>
        <v>186.36363636363637</v>
      </c>
      <c r="L186" s="2">
        <v>1.6</v>
      </c>
      <c r="M186" s="2">
        <v>184</v>
      </c>
      <c r="N186" s="2">
        <v>4.4000000000000004</v>
      </c>
      <c r="O186" s="136">
        <v>50</v>
      </c>
      <c r="P186" s="136"/>
      <c r="Q186" s="2">
        <v>2100</v>
      </c>
      <c r="R186" s="114">
        <f t="shared" si="3"/>
        <v>103.41075579934568</v>
      </c>
      <c r="S186" s="2">
        <v>12.5</v>
      </c>
      <c r="T186" s="114">
        <f>28*10/11</f>
        <v>25.454545454545453</v>
      </c>
      <c r="U186" s="2"/>
      <c r="V186" s="2"/>
      <c r="W186" s="2"/>
      <c r="X186" s="2"/>
      <c r="Y186" s="2"/>
      <c r="Z186" s="2"/>
      <c r="AA186" s="2"/>
      <c r="AB186" s="2"/>
    </row>
    <row r="187" spans="5:28" x14ac:dyDescent="0.25">
      <c r="O187" s="137"/>
      <c r="P187" s="137"/>
    </row>
    <row r="189" spans="5:28" x14ac:dyDescent="0.25">
      <c r="F189">
        <f>5*162/5162</f>
        <v>0.15691592406044169</v>
      </c>
    </row>
    <row r="191" spans="5:28" ht="21" x14ac:dyDescent="0.35">
      <c r="E191" s="121" t="s">
        <v>356</v>
      </c>
    </row>
    <row r="193" spans="4:23" hidden="1" x14ac:dyDescent="0.25">
      <c r="D193" s="106" t="s">
        <v>358</v>
      </c>
      <c r="E193" s="106" t="s">
        <v>351</v>
      </c>
      <c r="F193" s="106" t="s">
        <v>352</v>
      </c>
      <c r="G193" s="106" t="s">
        <v>365</v>
      </c>
      <c r="H193" s="106" t="s">
        <v>364</v>
      </c>
      <c r="I193" s="106" t="s">
        <v>143</v>
      </c>
      <c r="J193" s="106" t="s">
        <v>144</v>
      </c>
      <c r="K193" s="106" t="s">
        <v>145</v>
      </c>
      <c r="L193" s="106" t="s">
        <v>148</v>
      </c>
      <c r="M193" s="106" t="s">
        <v>146</v>
      </c>
      <c r="N193" s="106" t="s">
        <v>147</v>
      </c>
      <c r="O193" s="106" t="s">
        <v>139</v>
      </c>
      <c r="P193" s="106"/>
      <c r="Q193" s="106" t="s">
        <v>149</v>
      </c>
      <c r="R193" s="106" t="s">
        <v>359</v>
      </c>
      <c r="S193" s="106" t="s">
        <v>256</v>
      </c>
      <c r="T193" s="106" t="s">
        <v>338</v>
      </c>
      <c r="U193" s="106" t="s">
        <v>362</v>
      </c>
      <c r="V193" s="106" t="s">
        <v>136</v>
      </c>
      <c r="W193" s="128" t="s">
        <v>363</v>
      </c>
    </row>
    <row r="194" spans="4:23" hidden="1" x14ac:dyDescent="0.25">
      <c r="D194" s="87" t="s">
        <v>353</v>
      </c>
      <c r="E194" s="2">
        <v>3.6</v>
      </c>
      <c r="F194" s="3">
        <f>'Wire Feed Speed Table'!$F$20*'Ramp1,2 Test'!E194+'Wire Feed Speed Table'!$F$21</f>
        <v>202.74197922868291</v>
      </c>
      <c r="G194" s="2">
        <v>58</v>
      </c>
      <c r="H194" s="2">
        <v>144</v>
      </c>
      <c r="I194" s="2">
        <v>1.5</v>
      </c>
      <c r="J194" s="2">
        <v>6</v>
      </c>
      <c r="K194" s="2">
        <v>205</v>
      </c>
      <c r="L194" s="2">
        <v>1.6</v>
      </c>
      <c r="M194" s="2">
        <v>184</v>
      </c>
      <c r="N194" s="2">
        <v>4.4000000000000004</v>
      </c>
      <c r="O194" s="136">
        <v>50</v>
      </c>
      <c r="P194" s="136"/>
      <c r="Q194" s="2">
        <v>1700</v>
      </c>
      <c r="R194" s="2">
        <f>H194-G194+T194</f>
        <v>86</v>
      </c>
      <c r="S194" s="2">
        <v>12.5</v>
      </c>
      <c r="T194" s="44">
        <v>0</v>
      </c>
      <c r="U194" s="2"/>
      <c r="V194" s="2"/>
      <c r="W194" s="2"/>
    </row>
    <row r="195" spans="4:23" hidden="1" x14ac:dyDescent="0.25">
      <c r="D195" s="87" t="s">
        <v>353</v>
      </c>
      <c r="E195" s="2">
        <v>4</v>
      </c>
      <c r="F195" s="3">
        <f>'Wire Feed Speed Table'!$F$20*'Ramp1,2 Test'!E195+'Wire Feed Speed Table'!$F$21</f>
        <v>233.19187008004229</v>
      </c>
      <c r="G195" s="2">
        <v>63</v>
      </c>
      <c r="H195" s="2">
        <v>148</v>
      </c>
      <c r="I195" s="2">
        <v>1.5</v>
      </c>
      <c r="J195" s="2">
        <v>6</v>
      </c>
      <c r="K195" s="2">
        <v>205</v>
      </c>
      <c r="L195" s="2">
        <v>1.6</v>
      </c>
      <c r="M195" s="2">
        <v>184</v>
      </c>
      <c r="N195" s="2">
        <v>4.4000000000000004</v>
      </c>
      <c r="O195" s="136">
        <v>50</v>
      </c>
      <c r="P195" s="136"/>
      <c r="Q195" s="2">
        <v>1700</v>
      </c>
      <c r="R195" s="2">
        <f t="shared" ref="R195:R205" si="5">H195-G195+T195</f>
        <v>87</v>
      </c>
      <c r="S195" s="2">
        <v>12.5</v>
      </c>
      <c r="T195" s="44">
        <v>2</v>
      </c>
      <c r="U195" s="2"/>
      <c r="V195" s="2"/>
      <c r="W195" s="2"/>
    </row>
    <row r="196" spans="4:23" hidden="1" x14ac:dyDescent="0.25">
      <c r="D196" s="87" t="s">
        <v>353</v>
      </c>
      <c r="E196" s="14">
        <v>4.4000000000000004</v>
      </c>
      <c r="F196" s="116">
        <f>'Wire Feed Speed Table'!$F$20*'Ramp1,2 Test'!E196+'Wire Feed Speed Table'!$F$21</f>
        <v>263.64176093140173</v>
      </c>
      <c r="G196" s="117">
        <v>70</v>
      </c>
      <c r="H196" s="14">
        <v>154</v>
      </c>
      <c r="I196" s="14">
        <v>1.5</v>
      </c>
      <c r="J196" s="14">
        <v>6</v>
      </c>
      <c r="K196" s="14">
        <v>205</v>
      </c>
      <c r="L196" s="14">
        <v>1.6</v>
      </c>
      <c r="M196" s="14">
        <v>184</v>
      </c>
      <c r="N196" s="14">
        <v>4.4000000000000004</v>
      </c>
      <c r="O196" s="135">
        <v>50</v>
      </c>
      <c r="P196" s="135"/>
      <c r="Q196" s="14">
        <v>1700</v>
      </c>
      <c r="R196" s="2">
        <f t="shared" si="5"/>
        <v>88</v>
      </c>
      <c r="S196" s="14">
        <v>12.5</v>
      </c>
      <c r="T196" s="122">
        <v>4</v>
      </c>
      <c r="U196" s="2"/>
      <c r="V196" s="2"/>
      <c r="W196" s="2"/>
    </row>
    <row r="197" spans="4:23" hidden="1" x14ac:dyDescent="0.25">
      <c r="D197" s="87" t="s">
        <v>353</v>
      </c>
      <c r="E197" s="2">
        <v>4.8</v>
      </c>
      <c r="F197" s="116">
        <f>'Wire Feed Speed Table'!$F$20*'Ramp1,2 Test'!E197+'Wire Feed Speed Table'!$F$21</f>
        <v>294.09165178276106</v>
      </c>
      <c r="G197" s="2">
        <v>77</v>
      </c>
      <c r="H197" s="2">
        <v>160</v>
      </c>
      <c r="I197" s="14">
        <v>1.5</v>
      </c>
      <c r="J197" s="14">
        <v>6</v>
      </c>
      <c r="K197" s="14">
        <v>205</v>
      </c>
      <c r="L197" s="14">
        <v>1.6</v>
      </c>
      <c r="M197" s="14">
        <v>184</v>
      </c>
      <c r="N197" s="14">
        <v>4.4000000000000004</v>
      </c>
      <c r="O197" s="135">
        <v>50</v>
      </c>
      <c r="P197" s="135"/>
      <c r="Q197" s="14">
        <v>1700</v>
      </c>
      <c r="R197" s="2">
        <f t="shared" si="5"/>
        <v>89</v>
      </c>
      <c r="S197" s="2">
        <v>12.5</v>
      </c>
      <c r="T197" s="44">
        <v>6</v>
      </c>
      <c r="U197" s="2"/>
      <c r="V197" s="2"/>
      <c r="W197" s="2"/>
    </row>
    <row r="198" spans="4:23" hidden="1" x14ac:dyDescent="0.25">
      <c r="D198" s="87" t="s">
        <v>353</v>
      </c>
      <c r="E198" s="2">
        <v>5.2</v>
      </c>
      <c r="F198" s="116">
        <f>'Wire Feed Speed Table'!$F$20*'Ramp1,2 Test'!E198+'Wire Feed Speed Table'!$F$21</f>
        <v>324.5415426341205</v>
      </c>
      <c r="G198" s="2">
        <v>82</v>
      </c>
      <c r="H198" s="2">
        <v>164</v>
      </c>
      <c r="I198" s="14">
        <v>1.5</v>
      </c>
      <c r="J198" s="14">
        <v>6</v>
      </c>
      <c r="K198" s="14">
        <v>205</v>
      </c>
      <c r="L198" s="14">
        <v>1.6</v>
      </c>
      <c r="M198" s="14">
        <v>184</v>
      </c>
      <c r="N198" s="14">
        <v>4.4000000000000004</v>
      </c>
      <c r="O198" s="135">
        <v>50</v>
      </c>
      <c r="P198" s="135"/>
      <c r="Q198" s="14">
        <v>1700</v>
      </c>
      <c r="R198" s="2">
        <f t="shared" si="5"/>
        <v>90</v>
      </c>
      <c r="S198" s="2">
        <v>12.5</v>
      </c>
      <c r="T198" s="44">
        <v>8</v>
      </c>
      <c r="U198" s="2"/>
      <c r="V198" s="2"/>
      <c r="W198" s="2"/>
    </row>
    <row r="199" spans="4:23" hidden="1" x14ac:dyDescent="0.25">
      <c r="D199" s="87" t="s">
        <v>353</v>
      </c>
      <c r="E199" s="2">
        <v>5.6</v>
      </c>
      <c r="F199" s="116">
        <f>'Wire Feed Speed Table'!$F$20*'Ramp1,2 Test'!E199+'Wire Feed Speed Table'!$F$21</f>
        <v>354.99143348547983</v>
      </c>
      <c r="G199" s="2">
        <v>88</v>
      </c>
      <c r="H199" s="2">
        <v>169</v>
      </c>
      <c r="I199" s="14">
        <v>1.5</v>
      </c>
      <c r="J199" s="14">
        <v>6</v>
      </c>
      <c r="K199" s="14">
        <v>205</v>
      </c>
      <c r="L199" s="14">
        <v>1.6</v>
      </c>
      <c r="M199" s="14">
        <v>184</v>
      </c>
      <c r="N199" s="14">
        <v>4.4000000000000004</v>
      </c>
      <c r="O199" s="135">
        <v>50</v>
      </c>
      <c r="P199" s="135"/>
      <c r="Q199" s="14">
        <v>1700</v>
      </c>
      <c r="R199" s="2">
        <f t="shared" si="5"/>
        <v>91</v>
      </c>
      <c r="S199" s="2">
        <v>12.5</v>
      </c>
      <c r="T199" s="44">
        <v>10</v>
      </c>
      <c r="U199" s="2"/>
      <c r="V199" s="2"/>
      <c r="W199" s="2"/>
    </row>
    <row r="200" spans="4:23" hidden="1" x14ac:dyDescent="0.25">
      <c r="D200" s="87" t="s">
        <v>353</v>
      </c>
      <c r="E200" s="2">
        <v>6</v>
      </c>
      <c r="F200" s="116">
        <f>'Wire Feed Speed Table'!$F$20*'Ramp1,2 Test'!E200+'Wire Feed Speed Table'!$F$21</f>
        <v>385.44132433683927</v>
      </c>
      <c r="G200" s="2">
        <v>92</v>
      </c>
      <c r="H200" s="2">
        <v>172</v>
      </c>
      <c r="I200" s="14">
        <v>1.5</v>
      </c>
      <c r="J200" s="14">
        <v>6</v>
      </c>
      <c r="K200" s="14">
        <v>205</v>
      </c>
      <c r="L200" s="14">
        <v>1.6</v>
      </c>
      <c r="M200" s="14">
        <v>184</v>
      </c>
      <c r="N200" s="14">
        <v>4.4000000000000004</v>
      </c>
      <c r="O200" s="135">
        <v>50</v>
      </c>
      <c r="P200" s="135"/>
      <c r="Q200" s="14">
        <v>1700</v>
      </c>
      <c r="R200" s="2">
        <f t="shared" si="5"/>
        <v>92</v>
      </c>
      <c r="S200" s="2">
        <v>12.5</v>
      </c>
      <c r="T200" s="44">
        <v>12</v>
      </c>
      <c r="U200" s="2"/>
      <c r="V200" s="2"/>
      <c r="W200" s="2"/>
    </row>
    <row r="201" spans="4:23" hidden="1" x14ac:dyDescent="0.25">
      <c r="D201" s="87" t="s">
        <v>353</v>
      </c>
      <c r="E201" s="2">
        <v>6.4</v>
      </c>
      <c r="F201" s="116">
        <f>'Wire Feed Speed Table'!$F$20*'Ramp1,2 Test'!E201+'Wire Feed Speed Table'!$F$21</f>
        <v>415.89121518819871</v>
      </c>
      <c r="G201" s="2">
        <v>100</v>
      </c>
      <c r="H201" s="2">
        <v>179</v>
      </c>
      <c r="I201" s="14">
        <v>1.5</v>
      </c>
      <c r="J201" s="14">
        <v>6</v>
      </c>
      <c r="K201" s="14">
        <v>205</v>
      </c>
      <c r="L201" s="14">
        <v>1.6</v>
      </c>
      <c r="M201" s="14">
        <v>184</v>
      </c>
      <c r="N201" s="14">
        <v>4.4000000000000004</v>
      </c>
      <c r="O201" s="135">
        <v>50</v>
      </c>
      <c r="P201" s="135"/>
      <c r="Q201" s="14">
        <v>1700</v>
      </c>
      <c r="R201" s="2">
        <f t="shared" si="5"/>
        <v>93</v>
      </c>
      <c r="S201" s="2">
        <v>12.5</v>
      </c>
      <c r="T201" s="44">
        <v>14</v>
      </c>
      <c r="U201" s="2"/>
      <c r="V201" s="2"/>
      <c r="W201" s="2"/>
    </row>
    <row r="202" spans="4:23" hidden="1" x14ac:dyDescent="0.25">
      <c r="D202" s="87" t="s">
        <v>353</v>
      </c>
      <c r="E202" s="2">
        <v>6.8</v>
      </c>
      <c r="F202" s="116">
        <f>'Wire Feed Speed Table'!$F$20*'Ramp1,2 Test'!E202+'Wire Feed Speed Table'!$F$21</f>
        <v>446.34110603955804</v>
      </c>
      <c r="G202" s="2">
        <v>110</v>
      </c>
      <c r="H202" s="2">
        <v>190</v>
      </c>
      <c r="I202" s="14">
        <v>1.5</v>
      </c>
      <c r="J202" s="14">
        <v>6</v>
      </c>
      <c r="K202" s="14">
        <v>205</v>
      </c>
      <c r="L202" s="14">
        <v>1.6</v>
      </c>
      <c r="M202" s="14">
        <v>184</v>
      </c>
      <c r="N202" s="14">
        <v>4.4000000000000004</v>
      </c>
      <c r="O202" s="135">
        <v>50</v>
      </c>
      <c r="P202" s="135"/>
      <c r="Q202" s="14">
        <v>1700</v>
      </c>
      <c r="R202" s="2">
        <f t="shared" si="5"/>
        <v>94</v>
      </c>
      <c r="S202" s="2">
        <v>12.5</v>
      </c>
      <c r="T202" s="44">
        <v>14</v>
      </c>
      <c r="U202" s="50">
        <v>81</v>
      </c>
      <c r="V202" s="2" t="s">
        <v>357</v>
      </c>
      <c r="W202" s="2"/>
    </row>
    <row r="203" spans="4:23" hidden="1" x14ac:dyDescent="0.25">
      <c r="D203" s="87" t="s">
        <v>353</v>
      </c>
      <c r="E203" s="2">
        <v>7.2</v>
      </c>
      <c r="F203" s="116">
        <f>'Wire Feed Speed Table'!$F$20*'Ramp1,2 Test'!E203+'Wire Feed Speed Table'!$F$21</f>
        <v>476.79099689091748</v>
      </c>
      <c r="G203" s="2">
        <v>114</v>
      </c>
      <c r="H203" s="2">
        <v>192</v>
      </c>
      <c r="I203" s="14">
        <v>1.5</v>
      </c>
      <c r="J203" s="14">
        <v>6</v>
      </c>
      <c r="K203" s="14">
        <v>205</v>
      </c>
      <c r="L203" s="14">
        <v>1.6</v>
      </c>
      <c r="M203" s="14">
        <v>184</v>
      </c>
      <c r="N203" s="14">
        <v>4.4000000000000004</v>
      </c>
      <c r="O203" s="135">
        <v>50</v>
      </c>
      <c r="P203" s="135"/>
      <c r="Q203" s="14">
        <v>1900</v>
      </c>
      <c r="R203" s="2">
        <f t="shared" si="5"/>
        <v>94</v>
      </c>
      <c r="S203" s="2">
        <v>12.5</v>
      </c>
      <c r="T203" s="44">
        <v>16</v>
      </c>
      <c r="U203" s="50">
        <v>83</v>
      </c>
      <c r="V203" s="2" t="s">
        <v>354</v>
      </c>
      <c r="W203" s="2"/>
    </row>
    <row r="204" spans="4:23" hidden="1" x14ac:dyDescent="0.25">
      <c r="D204" s="87" t="s">
        <v>353</v>
      </c>
      <c r="E204" s="2">
        <v>7.6</v>
      </c>
      <c r="F204" s="116">
        <f>'Wire Feed Speed Table'!$F$20*'Ramp1,2 Test'!E204+'Wire Feed Speed Table'!$F$21</f>
        <v>507.24088774227681</v>
      </c>
      <c r="G204" s="2">
        <v>120</v>
      </c>
      <c r="H204" s="2">
        <v>196</v>
      </c>
      <c r="I204" s="14">
        <v>1.5</v>
      </c>
      <c r="J204" s="14">
        <v>6</v>
      </c>
      <c r="K204" s="14">
        <v>205</v>
      </c>
      <c r="L204" s="14">
        <v>1.6</v>
      </c>
      <c r="M204" s="14">
        <v>184</v>
      </c>
      <c r="N204" s="14">
        <v>4.4000000000000004</v>
      </c>
      <c r="O204" s="135">
        <v>50</v>
      </c>
      <c r="P204" s="135"/>
      <c r="Q204" s="14">
        <v>1900</v>
      </c>
      <c r="R204" s="2">
        <f t="shared" si="5"/>
        <v>94</v>
      </c>
      <c r="S204" s="2">
        <v>12.5</v>
      </c>
      <c r="T204" s="44">
        <v>18</v>
      </c>
      <c r="U204" s="50">
        <v>86</v>
      </c>
      <c r="V204" s="2" t="s">
        <v>354</v>
      </c>
      <c r="W204" s="2"/>
    </row>
    <row r="205" spans="4:23" hidden="1" x14ac:dyDescent="0.25">
      <c r="D205" s="87" t="s">
        <v>353</v>
      </c>
      <c r="E205" s="2">
        <v>8</v>
      </c>
      <c r="F205" s="116">
        <f>'Wire Feed Speed Table'!$F$20*'Ramp1,2 Test'!E205+'Wire Feed Speed Table'!$F$21</f>
        <v>537.6907785936362</v>
      </c>
      <c r="G205" s="2">
        <v>130</v>
      </c>
      <c r="H205" s="2">
        <v>203</v>
      </c>
      <c r="I205" s="14">
        <v>1.5</v>
      </c>
      <c r="J205" s="14">
        <v>6</v>
      </c>
      <c r="K205" s="14">
        <v>205</v>
      </c>
      <c r="L205" s="14">
        <v>1.6</v>
      </c>
      <c r="M205" s="14">
        <v>184</v>
      </c>
      <c r="N205" s="14">
        <v>4.4000000000000004</v>
      </c>
      <c r="O205" s="135">
        <v>50</v>
      </c>
      <c r="P205" s="135"/>
      <c r="Q205" s="14">
        <v>2100</v>
      </c>
      <c r="R205" s="2">
        <f t="shared" si="5"/>
        <v>101</v>
      </c>
      <c r="S205" s="2">
        <v>12.5</v>
      </c>
      <c r="T205" s="44">
        <v>28</v>
      </c>
      <c r="U205" s="50">
        <v>91</v>
      </c>
      <c r="V205" s="2" t="s">
        <v>354</v>
      </c>
      <c r="W205" s="2"/>
    </row>
    <row r="207" spans="4:23" x14ac:dyDescent="0.25">
      <c r="D207" s="106" t="s">
        <v>358</v>
      </c>
      <c r="E207" s="134" t="s">
        <v>351</v>
      </c>
      <c r="F207" s="134" t="s">
        <v>352</v>
      </c>
      <c r="G207" s="134" t="s">
        <v>365</v>
      </c>
      <c r="H207" s="134" t="s">
        <v>364</v>
      </c>
      <c r="I207" s="134" t="s">
        <v>143</v>
      </c>
      <c r="J207" s="134" t="s">
        <v>144</v>
      </c>
      <c r="K207" s="134" t="s">
        <v>145</v>
      </c>
      <c r="L207" s="134" t="s">
        <v>148</v>
      </c>
      <c r="M207" s="134" t="s">
        <v>146</v>
      </c>
      <c r="N207" s="134" t="s">
        <v>147</v>
      </c>
      <c r="O207" s="134" t="s">
        <v>139</v>
      </c>
      <c r="P207" s="134"/>
      <c r="Q207" s="134" t="s">
        <v>149</v>
      </c>
      <c r="R207" s="134" t="s">
        <v>359</v>
      </c>
      <c r="S207" s="134" t="s">
        <v>256</v>
      </c>
      <c r="T207" s="134" t="s">
        <v>338</v>
      </c>
      <c r="U207" s="134" t="s">
        <v>362</v>
      </c>
      <c r="V207" s="134" t="s">
        <v>136</v>
      </c>
      <c r="W207" s="128" t="s">
        <v>363</v>
      </c>
    </row>
    <row r="208" spans="4:23" x14ac:dyDescent="0.25">
      <c r="D208" s="87" t="s">
        <v>353</v>
      </c>
      <c r="E208" s="2">
        <v>3.6</v>
      </c>
      <c r="F208" s="3">
        <f>'Wire Feed Speed Table'!$F$20*'Ramp1,2 Test'!E194+'Wire Feed Speed Table'!$F$21</f>
        <v>202.74197922868291</v>
      </c>
      <c r="G208" s="114">
        <f>G194*10/11</f>
        <v>52.727272727272727</v>
      </c>
      <c r="H208" s="3">
        <f>H194*10/11</f>
        <v>130.90909090909091</v>
      </c>
      <c r="I208" s="2">
        <v>1.5</v>
      </c>
      <c r="J208" s="2">
        <v>6</v>
      </c>
      <c r="K208" s="114">
        <v>184</v>
      </c>
      <c r="L208" s="2">
        <v>1.6</v>
      </c>
      <c r="M208" s="2">
        <v>184</v>
      </c>
      <c r="N208" s="2">
        <v>4.4000000000000004</v>
      </c>
      <c r="O208" s="136">
        <v>50</v>
      </c>
      <c r="P208" s="136"/>
      <c r="Q208" s="2">
        <v>1700</v>
      </c>
      <c r="R208" s="5">
        <f>H208-G208+T208</f>
        <v>78.181818181818187</v>
      </c>
      <c r="S208" s="2">
        <v>12.5</v>
      </c>
      <c r="T208" s="114">
        <f>T194*10/11</f>
        <v>0</v>
      </c>
      <c r="U208" s="2"/>
      <c r="V208" s="2"/>
      <c r="W208" s="2"/>
    </row>
    <row r="209" spans="4:23" x14ac:dyDescent="0.25">
      <c r="D209" s="82"/>
      <c r="E209" s="2">
        <v>4</v>
      </c>
      <c r="F209" s="3">
        <f>'Wire Feed Speed Table'!$F$20*'Ramp1,2 Test'!E195+'Wire Feed Speed Table'!$F$21</f>
        <v>233.19187008004229</v>
      </c>
      <c r="G209" s="114">
        <f t="shared" ref="G209:H219" si="6">G195*10/11</f>
        <v>57.272727272727273</v>
      </c>
      <c r="H209" s="3">
        <f t="shared" si="6"/>
        <v>134.54545454545453</v>
      </c>
      <c r="I209" s="2">
        <v>1.5</v>
      </c>
      <c r="J209" s="2">
        <v>6</v>
      </c>
      <c r="K209" s="114">
        <v>184</v>
      </c>
      <c r="L209" s="2">
        <v>1.6</v>
      </c>
      <c r="M209" s="2">
        <v>184</v>
      </c>
      <c r="N209" s="2">
        <v>4.4000000000000004</v>
      </c>
      <c r="O209" s="136">
        <v>50</v>
      </c>
      <c r="P209" s="136"/>
      <c r="Q209" s="2">
        <v>1700</v>
      </c>
      <c r="R209" s="5">
        <f t="shared" ref="R209:R219" si="7">H209-G209+T209</f>
        <v>79.090909090909065</v>
      </c>
      <c r="S209" s="2">
        <v>12.5</v>
      </c>
      <c r="T209" s="114">
        <f t="shared" ref="T209:T219" si="8">T195*10/11</f>
        <v>1.8181818181818181</v>
      </c>
      <c r="U209" s="2"/>
      <c r="V209" s="2"/>
      <c r="W209" s="2"/>
    </row>
    <row r="210" spans="4:23" x14ac:dyDescent="0.25">
      <c r="D210" s="87" t="s">
        <v>353</v>
      </c>
      <c r="E210" s="14">
        <v>4.4000000000000004</v>
      </c>
      <c r="F210" s="3">
        <f>'Wire Feed Speed Table'!$F$20*'Ramp1,2 Test'!E196+'Wire Feed Speed Table'!$F$21</f>
        <v>263.64176093140173</v>
      </c>
      <c r="G210" s="114">
        <f t="shared" si="6"/>
        <v>63.636363636363633</v>
      </c>
      <c r="H210" s="3">
        <f t="shared" si="6"/>
        <v>140</v>
      </c>
      <c r="I210" s="14">
        <v>1.5</v>
      </c>
      <c r="J210" s="2">
        <v>6</v>
      </c>
      <c r="K210" s="114">
        <v>184</v>
      </c>
      <c r="L210" s="14">
        <v>1.6</v>
      </c>
      <c r="M210" s="2">
        <v>184</v>
      </c>
      <c r="N210" s="14">
        <v>4.4000000000000004</v>
      </c>
      <c r="O210" s="135">
        <v>50</v>
      </c>
      <c r="P210" s="135"/>
      <c r="Q210" s="14">
        <v>1700</v>
      </c>
      <c r="R210" s="5">
        <f t="shared" si="7"/>
        <v>80.000000000000014</v>
      </c>
      <c r="S210" s="14">
        <v>12.5</v>
      </c>
      <c r="T210" s="114">
        <f t="shared" si="8"/>
        <v>3.6363636363636362</v>
      </c>
      <c r="U210" s="2">
        <v>57</v>
      </c>
      <c r="V210" s="2" t="s">
        <v>371</v>
      </c>
      <c r="W210" s="2"/>
    </row>
    <row r="211" spans="4:23" x14ac:dyDescent="0.25">
      <c r="D211" s="87" t="s">
        <v>353</v>
      </c>
      <c r="E211" s="2">
        <v>4.8</v>
      </c>
      <c r="F211" s="3">
        <f>'Wire Feed Speed Table'!$F$20*'Ramp1,2 Test'!E197+'Wire Feed Speed Table'!$F$21</f>
        <v>294.09165178276106</v>
      </c>
      <c r="G211" s="114">
        <f t="shared" si="6"/>
        <v>70</v>
      </c>
      <c r="H211" s="3">
        <f t="shared" si="6"/>
        <v>145.45454545454547</v>
      </c>
      <c r="I211" s="14">
        <v>1.5</v>
      </c>
      <c r="J211" s="2">
        <v>6</v>
      </c>
      <c r="K211" s="114">
        <v>184</v>
      </c>
      <c r="L211" s="14">
        <v>1.6</v>
      </c>
      <c r="M211" s="2">
        <v>184</v>
      </c>
      <c r="N211" s="14">
        <v>4.4000000000000004</v>
      </c>
      <c r="O211" s="135">
        <v>50</v>
      </c>
      <c r="P211" s="135"/>
      <c r="Q211" s="14">
        <v>1700</v>
      </c>
      <c r="R211" s="5">
        <f t="shared" si="7"/>
        <v>80.909090909090921</v>
      </c>
      <c r="S211" s="2">
        <v>12.5</v>
      </c>
      <c r="T211" s="114">
        <f t="shared" si="8"/>
        <v>5.4545454545454541</v>
      </c>
      <c r="U211" s="2">
        <v>63</v>
      </c>
      <c r="V211" s="2" t="s">
        <v>371</v>
      </c>
      <c r="W211" s="2"/>
    </row>
    <row r="212" spans="4:23" x14ac:dyDescent="0.25">
      <c r="D212" s="82"/>
      <c r="E212" s="2">
        <v>5.2</v>
      </c>
      <c r="F212" s="3">
        <f>'Wire Feed Speed Table'!$F$20*'Ramp1,2 Test'!E198+'Wire Feed Speed Table'!$F$21</f>
        <v>324.5415426341205</v>
      </c>
      <c r="G212" s="114">
        <f t="shared" si="6"/>
        <v>74.545454545454547</v>
      </c>
      <c r="H212" s="3">
        <f t="shared" si="6"/>
        <v>149.09090909090909</v>
      </c>
      <c r="I212" s="14">
        <v>1.5</v>
      </c>
      <c r="J212" s="2">
        <v>6</v>
      </c>
      <c r="K212" s="114">
        <v>184</v>
      </c>
      <c r="L212" s="14">
        <v>1.6</v>
      </c>
      <c r="M212" s="2">
        <v>184</v>
      </c>
      <c r="N212" s="14">
        <v>4.4000000000000004</v>
      </c>
      <c r="O212" s="135">
        <v>50</v>
      </c>
      <c r="P212" s="135"/>
      <c r="Q212" s="14">
        <v>1700</v>
      </c>
      <c r="R212" s="5">
        <f t="shared" si="7"/>
        <v>81.818181818181813</v>
      </c>
      <c r="S212" s="2">
        <v>12.5</v>
      </c>
      <c r="T212" s="114">
        <f t="shared" si="8"/>
        <v>7.2727272727272725</v>
      </c>
      <c r="U212" s="2"/>
      <c r="V212" s="2"/>
      <c r="W212" s="2"/>
    </row>
    <row r="213" spans="4:23" x14ac:dyDescent="0.25">
      <c r="D213" s="87" t="s">
        <v>353</v>
      </c>
      <c r="E213" s="2">
        <v>5.6</v>
      </c>
      <c r="F213" s="3">
        <f>'Wire Feed Speed Table'!$F$20*'Ramp1,2 Test'!E199+'Wire Feed Speed Table'!$F$21</f>
        <v>354.99143348547983</v>
      </c>
      <c r="G213" s="114">
        <f t="shared" si="6"/>
        <v>80</v>
      </c>
      <c r="H213" s="3">
        <f t="shared" si="6"/>
        <v>153.63636363636363</v>
      </c>
      <c r="I213" s="14">
        <v>1.5</v>
      </c>
      <c r="J213" s="2">
        <v>6</v>
      </c>
      <c r="K213" s="114">
        <v>184</v>
      </c>
      <c r="L213" s="14">
        <v>1.6</v>
      </c>
      <c r="M213" s="2">
        <v>184</v>
      </c>
      <c r="N213" s="14">
        <v>4.4000000000000004</v>
      </c>
      <c r="O213" s="135">
        <v>50</v>
      </c>
      <c r="P213" s="135"/>
      <c r="Q213" s="14">
        <v>1900</v>
      </c>
      <c r="R213" s="5">
        <f t="shared" si="7"/>
        <v>82.72727272727272</v>
      </c>
      <c r="S213" s="2">
        <v>12.5</v>
      </c>
      <c r="T213" s="114">
        <f t="shared" si="8"/>
        <v>9.0909090909090917</v>
      </c>
      <c r="U213" s="2">
        <v>70</v>
      </c>
      <c r="V213" s="2" t="s">
        <v>371</v>
      </c>
      <c r="W213" s="2"/>
    </row>
    <row r="214" spans="4:23" x14ac:dyDescent="0.25">
      <c r="D214" s="82"/>
      <c r="E214" s="2">
        <v>6</v>
      </c>
      <c r="F214" s="3">
        <f>'Wire Feed Speed Table'!$F$20*'Ramp1,2 Test'!E200+'Wire Feed Speed Table'!$F$21</f>
        <v>385.44132433683927</v>
      </c>
      <c r="G214" s="114">
        <f t="shared" si="6"/>
        <v>83.63636363636364</v>
      </c>
      <c r="H214" s="3">
        <f t="shared" si="6"/>
        <v>156.36363636363637</v>
      </c>
      <c r="I214" s="14">
        <v>1.5</v>
      </c>
      <c r="J214" s="2">
        <v>6</v>
      </c>
      <c r="K214" s="114">
        <v>184</v>
      </c>
      <c r="L214" s="14">
        <v>1.6</v>
      </c>
      <c r="M214" s="2">
        <v>184</v>
      </c>
      <c r="N214" s="14">
        <v>4.4000000000000004</v>
      </c>
      <c r="O214" s="135">
        <v>50</v>
      </c>
      <c r="P214" s="135"/>
      <c r="Q214" s="14">
        <v>1700</v>
      </c>
      <c r="R214" s="5">
        <f t="shared" si="7"/>
        <v>83.63636363636364</v>
      </c>
      <c r="S214" s="2">
        <v>12.5</v>
      </c>
      <c r="T214" s="114">
        <f t="shared" si="8"/>
        <v>10.909090909090908</v>
      </c>
      <c r="U214" s="2"/>
      <c r="V214" s="2"/>
      <c r="W214" s="2"/>
    </row>
    <row r="215" spans="4:23" ht="14.25" customHeight="1" x14ac:dyDescent="0.25">
      <c r="D215" s="87" t="s">
        <v>353</v>
      </c>
      <c r="E215" s="2">
        <v>6.4</v>
      </c>
      <c r="F215" s="3">
        <f>'Wire Feed Speed Table'!$F$20*'Ramp1,2 Test'!E201+'Wire Feed Speed Table'!$F$21</f>
        <v>415.89121518819871</v>
      </c>
      <c r="G215" s="114">
        <v>93</v>
      </c>
      <c r="H215" s="3">
        <v>166</v>
      </c>
      <c r="I215" s="14">
        <v>1.5</v>
      </c>
      <c r="J215" s="2">
        <v>6</v>
      </c>
      <c r="K215" s="114">
        <v>184</v>
      </c>
      <c r="L215" s="14">
        <v>1.6</v>
      </c>
      <c r="M215" s="2">
        <v>184</v>
      </c>
      <c r="N215" s="14">
        <v>4.4000000000000004</v>
      </c>
      <c r="O215" s="135">
        <v>50</v>
      </c>
      <c r="P215" s="135"/>
      <c r="Q215" s="14">
        <v>1900</v>
      </c>
      <c r="R215" s="5">
        <f t="shared" si="7"/>
        <v>85.72727272727272</v>
      </c>
      <c r="S215" s="2">
        <v>12.5</v>
      </c>
      <c r="T215" s="114">
        <f t="shared" si="8"/>
        <v>12.727272727272727</v>
      </c>
      <c r="U215" s="2">
        <v>79</v>
      </c>
      <c r="V215" s="2" t="s">
        <v>371</v>
      </c>
      <c r="W215" s="2"/>
    </row>
    <row r="216" spans="4:23" x14ac:dyDescent="0.25">
      <c r="D216" s="87" t="s">
        <v>353</v>
      </c>
      <c r="E216" s="2">
        <v>6.8</v>
      </c>
      <c r="F216" s="3">
        <f>'Wire Feed Speed Table'!$F$20*'Ramp1,2 Test'!E202+'Wire Feed Speed Table'!$F$21</f>
        <v>446.34110603955804</v>
      </c>
      <c r="G216" s="114">
        <f t="shared" si="6"/>
        <v>100</v>
      </c>
      <c r="H216" s="3">
        <f t="shared" si="6"/>
        <v>172.72727272727272</v>
      </c>
      <c r="I216" s="14">
        <v>1.5</v>
      </c>
      <c r="J216" s="2">
        <v>6</v>
      </c>
      <c r="K216" s="114">
        <v>184</v>
      </c>
      <c r="L216" s="14">
        <v>1.6</v>
      </c>
      <c r="M216" s="2">
        <v>184</v>
      </c>
      <c r="N216" s="14">
        <v>4.4000000000000004</v>
      </c>
      <c r="O216" s="135">
        <v>50</v>
      </c>
      <c r="P216" s="135"/>
      <c r="Q216" s="14">
        <v>1900</v>
      </c>
      <c r="R216" s="5">
        <f t="shared" si="7"/>
        <v>88.72727272727272</v>
      </c>
      <c r="S216" s="2">
        <v>12.5</v>
      </c>
      <c r="T216" s="114">
        <v>16</v>
      </c>
      <c r="U216" s="2">
        <v>85</v>
      </c>
      <c r="V216" s="2" t="s">
        <v>371</v>
      </c>
      <c r="W216" s="2"/>
    </row>
    <row r="217" spans="4:23" x14ac:dyDescent="0.25">
      <c r="D217" s="87" t="s">
        <v>353</v>
      </c>
      <c r="E217" s="2">
        <v>7.2</v>
      </c>
      <c r="F217" s="3">
        <f>'Wire Feed Speed Table'!$F$20*'Ramp1,2 Test'!E203+'Wire Feed Speed Table'!$F$21</f>
        <v>476.79099689091748</v>
      </c>
      <c r="G217" s="114">
        <f t="shared" si="6"/>
        <v>103.63636363636364</v>
      </c>
      <c r="H217" s="3">
        <v>175</v>
      </c>
      <c r="I217" s="14">
        <v>1.5</v>
      </c>
      <c r="J217" s="2">
        <v>6</v>
      </c>
      <c r="K217" s="114">
        <v>184</v>
      </c>
      <c r="L217" s="14">
        <v>1.6</v>
      </c>
      <c r="M217" s="2">
        <v>184</v>
      </c>
      <c r="N217" s="14">
        <v>4.4000000000000004</v>
      </c>
      <c r="O217" s="135">
        <v>50</v>
      </c>
      <c r="P217" s="135"/>
      <c r="Q217" s="14">
        <v>1900</v>
      </c>
      <c r="R217" s="5">
        <f t="shared" si="7"/>
        <v>89.36363636363636</v>
      </c>
      <c r="S217" s="2">
        <v>12.5</v>
      </c>
      <c r="T217" s="114">
        <v>18</v>
      </c>
      <c r="U217" s="2">
        <v>87.5</v>
      </c>
      <c r="V217" s="2" t="s">
        <v>371</v>
      </c>
      <c r="W217" s="2"/>
    </row>
    <row r="218" spans="4:23" x14ac:dyDescent="0.25">
      <c r="D218" s="82"/>
      <c r="E218" s="2">
        <v>7.6</v>
      </c>
      <c r="F218" s="3">
        <f>'Wire Feed Speed Table'!$F$20*'Ramp1,2 Test'!E204+'Wire Feed Speed Table'!$F$21</f>
        <v>507.24088774227681</v>
      </c>
      <c r="G218" s="114">
        <f t="shared" si="6"/>
        <v>109.09090909090909</v>
      </c>
      <c r="H218" s="3">
        <f t="shared" si="6"/>
        <v>178.18181818181819</v>
      </c>
      <c r="I218" s="14">
        <v>1.5</v>
      </c>
      <c r="J218" s="2">
        <v>6</v>
      </c>
      <c r="K218" s="114">
        <v>184</v>
      </c>
      <c r="L218" s="14">
        <v>1.6</v>
      </c>
      <c r="M218" s="2">
        <v>184</v>
      </c>
      <c r="N218" s="14">
        <v>4.4000000000000004</v>
      </c>
      <c r="O218" s="135">
        <v>50</v>
      </c>
      <c r="P218" s="135"/>
      <c r="Q218" s="14">
        <v>1900</v>
      </c>
      <c r="R218" s="5">
        <f t="shared" si="7"/>
        <v>87.090909090909093</v>
      </c>
      <c r="S218" s="2">
        <v>12.5</v>
      </c>
      <c r="T218" s="114">
        <v>18</v>
      </c>
      <c r="U218" s="2"/>
      <c r="V218" s="2"/>
      <c r="W218" s="2"/>
    </row>
    <row r="219" spans="4:23" x14ac:dyDescent="0.25">
      <c r="D219" s="82"/>
      <c r="E219" s="2">
        <v>8</v>
      </c>
      <c r="F219" s="3">
        <f>'Wire Feed Speed Table'!$F$20*'Ramp1,2 Test'!E205+'Wire Feed Speed Table'!$F$21</f>
        <v>537.6907785936362</v>
      </c>
      <c r="G219" s="114">
        <f t="shared" si="6"/>
        <v>118.18181818181819</v>
      </c>
      <c r="H219" s="3">
        <f t="shared" si="6"/>
        <v>184.54545454545453</v>
      </c>
      <c r="I219" s="14">
        <v>1.5</v>
      </c>
      <c r="J219" s="2">
        <v>6</v>
      </c>
      <c r="K219" s="114">
        <v>184</v>
      </c>
      <c r="L219" s="14">
        <v>1.6</v>
      </c>
      <c r="M219" s="2">
        <v>184</v>
      </c>
      <c r="N219" s="14">
        <v>4.4000000000000004</v>
      </c>
      <c r="O219" s="135">
        <v>50</v>
      </c>
      <c r="P219" s="135"/>
      <c r="Q219" s="14">
        <v>2100</v>
      </c>
      <c r="R219" s="5">
        <f t="shared" si="7"/>
        <v>91.818181818181799</v>
      </c>
      <c r="S219" s="2">
        <v>12.5</v>
      </c>
      <c r="T219" s="114">
        <f t="shared" si="8"/>
        <v>25.454545454545453</v>
      </c>
      <c r="U219" s="2"/>
      <c r="V219" s="2"/>
      <c r="W219" s="2"/>
    </row>
    <row r="220" spans="4:23" x14ac:dyDescent="0.25">
      <c r="D220" s="8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</row>
    <row r="225" spans="4:4" x14ac:dyDescent="0.25">
      <c r="D225" s="133" t="s">
        <v>366</v>
      </c>
    </row>
    <row r="226" spans="4:4" x14ac:dyDescent="0.25">
      <c r="D226" s="129" t="s">
        <v>368</v>
      </c>
    </row>
  </sheetData>
  <mergeCells count="37">
    <mergeCell ref="O199:P199"/>
    <mergeCell ref="O200:P200"/>
    <mergeCell ref="O201:P201"/>
    <mergeCell ref="O202:P202"/>
    <mergeCell ref="O210:P210"/>
    <mergeCell ref="O203:P203"/>
    <mergeCell ref="O204:P204"/>
    <mergeCell ref="O205:P205"/>
    <mergeCell ref="O209:P209"/>
    <mergeCell ref="O208:P208"/>
    <mergeCell ref="O196:P196"/>
    <mergeCell ref="O194:P194"/>
    <mergeCell ref="O195:P195"/>
    <mergeCell ref="O197:P197"/>
    <mergeCell ref="O198:P198"/>
    <mergeCell ref="O187:P187"/>
    <mergeCell ref="O181:P181"/>
    <mergeCell ref="O183:P183"/>
    <mergeCell ref="O184:P184"/>
    <mergeCell ref="O185:P185"/>
    <mergeCell ref="O186:P186"/>
    <mergeCell ref="O182:P182"/>
    <mergeCell ref="O180:P180"/>
    <mergeCell ref="O175:P175"/>
    <mergeCell ref="O176:P176"/>
    <mergeCell ref="O177:P177"/>
    <mergeCell ref="O178:P178"/>
    <mergeCell ref="O179:P179"/>
    <mergeCell ref="O216:P216"/>
    <mergeCell ref="O217:P217"/>
    <mergeCell ref="O218:P218"/>
    <mergeCell ref="O219:P219"/>
    <mergeCell ref="O211:P211"/>
    <mergeCell ref="O212:P212"/>
    <mergeCell ref="O213:P213"/>
    <mergeCell ref="O214:P214"/>
    <mergeCell ref="O215:P215"/>
  </mergeCells>
  <hyperlinks>
    <hyperlink ref="X14" r:id="rId1" xr:uid="{3C38DC77-0AF5-4436-BEB0-0BFC4B6D3D04}"/>
    <hyperlink ref="X15" r:id="rId2" xr:uid="{5D4A9058-B717-4525-B9EB-D11734DA9FE3}"/>
    <hyperlink ref="X16" r:id="rId3" xr:uid="{9B73E9A7-CE38-427D-90B9-1F83EDD5C29E}"/>
    <hyperlink ref="X47" r:id="rId4" xr:uid="{36397763-52A3-421F-B260-4103D84147B9}"/>
    <hyperlink ref="X18" r:id="rId5" xr:uid="{71E6A410-4447-4817-AA5D-1AFE8C9B29C0}"/>
    <hyperlink ref="X19" r:id="rId6" xr:uid="{F3FF6C36-E07F-4562-9A58-7DDACCA6583D}"/>
    <hyperlink ref="X20" r:id="rId7" xr:uid="{3BEDF2B5-28E0-4CEF-9093-AB9DEDD56A36}"/>
    <hyperlink ref="X21" r:id="rId8" xr:uid="{29041704-27FC-47CF-A0A0-D127CA0F3345}"/>
    <hyperlink ref="X23" r:id="rId9" xr:uid="{85323781-2B6F-405B-968F-A43C0FC86FD5}"/>
    <hyperlink ref="X25" r:id="rId10" xr:uid="{DA5CE1F0-EA6D-46EA-830C-E1F4E5463792}"/>
    <hyperlink ref="X26" r:id="rId11" xr:uid="{21E70B03-31A9-4089-8395-F4C433A658F0}"/>
    <hyperlink ref="X27" r:id="rId12" xr:uid="{311761D8-7349-4909-AA37-7D618725A128}"/>
    <hyperlink ref="X29" r:id="rId13" xr:uid="{2625BD7B-5D6A-47FD-A912-18FC846A41C1}"/>
    <hyperlink ref="X33" r:id="rId14" xr:uid="{309F70DA-16F4-4025-8EDD-3DED66781425}"/>
    <hyperlink ref="X34" r:id="rId15" xr:uid="{23B3DFDC-74EB-4B28-A2FA-AFE7EC9C198F}"/>
    <hyperlink ref="X35" r:id="rId16" xr:uid="{0E4A29C2-5611-4264-A1B2-A15B7CC8E0A7}"/>
    <hyperlink ref="X38" r:id="rId17" xr:uid="{80408650-48D4-44C7-B254-1F9E4D630220}"/>
    <hyperlink ref="X39" r:id="rId18" xr:uid="{73F87D6B-70A7-4EC3-968B-13DE39D41349}"/>
    <hyperlink ref="X44" r:id="rId19" xr:uid="{AF842F03-4036-4F77-860F-8950DF31B786}"/>
    <hyperlink ref="X49" r:id="rId20" xr:uid="{A3D709B5-4C71-4AC9-9884-0802455043B4}"/>
    <hyperlink ref="X48" r:id="rId21" xr:uid="{D8D7A579-3A94-408C-B77D-091C2FD346C0}"/>
    <hyperlink ref="X51" r:id="rId22" xr:uid="{1998B57A-AD66-418C-A341-0154461CDC38}"/>
    <hyperlink ref="X50" r:id="rId23" xr:uid="{2B7FD98B-5B7F-40D5-82B7-4DDFEF53D101}"/>
    <hyperlink ref="X52" r:id="rId24" xr:uid="{63356DB6-AB7E-475E-82C7-8B7D8EF18A9A}"/>
    <hyperlink ref="X54" r:id="rId25" xr:uid="{8B89A8D6-BD9D-47FC-9ABE-DD6995AD268F}"/>
    <hyperlink ref="X59" r:id="rId26" xr:uid="{CB0E0617-EEB7-4DB6-8BE7-880C6C5BEEAC}"/>
    <hyperlink ref="X55" r:id="rId27" xr:uid="{B1F1A5B7-C26A-4170-ABF8-FBEE4CC57B0A}"/>
    <hyperlink ref="X56" r:id="rId28" xr:uid="{6D6626D9-4F91-4F69-90BC-F9B57F7D75BD}"/>
    <hyperlink ref="X58" r:id="rId29" xr:uid="{888E1262-6CA2-42B0-9744-91ADC29AFE64}"/>
    <hyperlink ref="X60" r:id="rId30" xr:uid="{12784E77-FCD0-42AB-8CE5-5C006B6432DF}"/>
    <hyperlink ref="X62" r:id="rId31" xr:uid="{1BBE456A-9BBB-4F44-B22D-1D0DDE405041}"/>
    <hyperlink ref="X61" r:id="rId32" xr:uid="{EA3F22D2-0194-41EF-BF88-751F7F189EA2}"/>
    <hyperlink ref="X45" r:id="rId33" xr:uid="{FB2854AE-4ABC-4120-BD35-AFFD98D44B5F}"/>
    <hyperlink ref="X63" r:id="rId34" xr:uid="{84D7B0FB-FA18-435D-ACF1-947DE84A2DBB}"/>
    <hyperlink ref="X64" r:id="rId35" xr:uid="{4E0D96D8-01EC-4A43-86C2-73471C6F55F5}"/>
    <hyperlink ref="X65" r:id="rId36" xr:uid="{BD52376F-017C-4925-8108-BA49D6EEF940}"/>
    <hyperlink ref="X66" r:id="rId37" xr:uid="{9FAB4E1D-980F-44E4-BDAB-FD0BA083CDB4}"/>
    <hyperlink ref="X67" r:id="rId38" xr:uid="{E4497515-F80C-43AF-9F9C-F412CD50DD11}"/>
    <hyperlink ref="X68" r:id="rId39" xr:uid="{65218C9E-3845-4BFA-9E01-626C7CD2D3AD}"/>
    <hyperlink ref="X69" r:id="rId40" xr:uid="{A87BD85A-2FCA-4E59-A0D6-F77F3A32157F}"/>
    <hyperlink ref="X73" r:id="rId41" xr:uid="{F0EB5125-4246-46C5-A38C-87A5D748459F}"/>
    <hyperlink ref="X72" r:id="rId42" xr:uid="{2470F507-DAD5-46E0-A167-1335CA115A6B}"/>
    <hyperlink ref="X71" r:id="rId43" xr:uid="{FB813CB1-BC29-4D8C-B13B-8DD510FE59C0}"/>
    <hyperlink ref="X70" r:id="rId44" xr:uid="{5C4A7ACC-D22F-4B7A-84A7-7AD59C92F26F}"/>
    <hyperlink ref="X74" r:id="rId45" xr:uid="{4FA031B0-2ABF-4531-AAD3-C296ED5F8EAA}"/>
    <hyperlink ref="X75" r:id="rId46" xr:uid="{994F3777-B462-43A5-B893-C7C6D2C0D88E}"/>
    <hyperlink ref="X76" r:id="rId47" xr:uid="{48BFC701-468C-413F-8AA8-4F258C645A97}"/>
    <hyperlink ref="X78" r:id="rId48" xr:uid="{71B1B8D4-7A03-43E5-8735-1C0C14CD5A97}"/>
    <hyperlink ref="X79" r:id="rId49" xr:uid="{AF6BD9B1-9853-4740-BAE1-F46F96C60EF9}"/>
  </hyperlinks>
  <pageMargins left="0.7" right="0.7" top="0.75" bottom="0.75" header="0.3" footer="0.3"/>
  <pageSetup paperSize="9" orientation="portrait" r:id="rId50"/>
  <drawing r:id="rId51"/>
  <legacyDrawing r:id="rId52"/>
  <tableParts count="1">
    <tablePart r:id="rId5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57766E-1735-41F0-B384-7D5CEEDA9C59}">
  <dimension ref="E4:H21"/>
  <sheetViews>
    <sheetView workbookViewId="0">
      <selection activeCell="F25" sqref="F25"/>
    </sheetView>
  </sheetViews>
  <sheetFormatPr defaultRowHeight="15" x14ac:dyDescent="0.25"/>
  <cols>
    <col min="5" max="5" width="11" customWidth="1"/>
    <col min="6" max="6" width="19.85546875" bestFit="1" customWidth="1"/>
    <col min="7" max="7" width="15.85546875" bestFit="1" customWidth="1"/>
    <col min="12" max="12" width="15.7109375" customWidth="1"/>
  </cols>
  <sheetData>
    <row r="4" spans="5:8" x14ac:dyDescent="0.25">
      <c r="E4" s="92" t="s">
        <v>265</v>
      </c>
      <c r="F4" s="92" t="s">
        <v>346</v>
      </c>
      <c r="G4" s="92" t="s">
        <v>266</v>
      </c>
      <c r="H4" s="92" t="s">
        <v>267</v>
      </c>
    </row>
    <row r="5" spans="5:8" x14ac:dyDescent="0.25">
      <c r="E5" s="2">
        <v>3.2</v>
      </c>
      <c r="F5" s="5">
        <f>G5/H5*60</f>
        <v>159</v>
      </c>
      <c r="G5" s="2">
        <f>55-2</f>
        <v>53</v>
      </c>
      <c r="H5" s="2">
        <v>20</v>
      </c>
    </row>
    <row r="6" spans="5:8" x14ac:dyDescent="0.25">
      <c r="E6" s="2">
        <v>3.4</v>
      </c>
      <c r="F6" s="5">
        <f>G6/H6*60</f>
        <v>186</v>
      </c>
      <c r="G6" s="2">
        <v>62</v>
      </c>
      <c r="H6" s="2">
        <v>20</v>
      </c>
    </row>
    <row r="7" spans="5:8" x14ac:dyDescent="0.25">
      <c r="E7" s="2">
        <v>3.6</v>
      </c>
      <c r="F7" s="5">
        <f t="shared" ref="F7:F15" si="0">G7/H7*60</f>
        <v>201</v>
      </c>
      <c r="G7" s="2">
        <v>67</v>
      </c>
      <c r="H7" s="2">
        <v>20</v>
      </c>
    </row>
    <row r="8" spans="5:8" x14ac:dyDescent="0.25">
      <c r="E8" s="2">
        <v>3.8</v>
      </c>
      <c r="F8" s="5">
        <f t="shared" si="0"/>
        <v>219</v>
      </c>
      <c r="G8" s="2">
        <v>73</v>
      </c>
      <c r="H8" s="2">
        <v>20</v>
      </c>
    </row>
    <row r="9" spans="5:8" x14ac:dyDescent="0.25">
      <c r="E9" s="2">
        <v>4</v>
      </c>
      <c r="F9" s="5">
        <f t="shared" si="0"/>
        <v>237</v>
      </c>
      <c r="G9" s="2">
        <v>79</v>
      </c>
      <c r="H9" s="2">
        <v>20</v>
      </c>
    </row>
    <row r="10" spans="5:8" x14ac:dyDescent="0.25">
      <c r="E10" s="2">
        <v>4.2</v>
      </c>
      <c r="F10" s="5">
        <f t="shared" si="0"/>
        <v>245.99999999999997</v>
      </c>
      <c r="G10" s="2">
        <v>82</v>
      </c>
      <c r="H10" s="2">
        <v>20</v>
      </c>
    </row>
    <row r="11" spans="5:8" x14ac:dyDescent="0.25">
      <c r="E11" s="2">
        <v>4.4000000000000004</v>
      </c>
      <c r="F11" s="5">
        <f t="shared" si="0"/>
        <v>270</v>
      </c>
      <c r="G11" s="2">
        <v>90</v>
      </c>
      <c r="H11" s="2">
        <v>20</v>
      </c>
    </row>
    <row r="12" spans="5:8" x14ac:dyDescent="0.25">
      <c r="E12" s="2">
        <v>4.5999999999999996</v>
      </c>
      <c r="F12" s="5">
        <f t="shared" si="0"/>
        <v>279</v>
      </c>
      <c r="G12" s="2">
        <v>93</v>
      </c>
      <c r="H12" s="2">
        <v>20</v>
      </c>
    </row>
    <row r="13" spans="5:8" x14ac:dyDescent="0.25">
      <c r="E13" s="50">
        <v>5</v>
      </c>
      <c r="F13" s="5">
        <f t="shared" si="0"/>
        <v>315</v>
      </c>
      <c r="G13" s="50">
        <v>105</v>
      </c>
      <c r="H13" s="50">
        <v>20</v>
      </c>
    </row>
    <row r="14" spans="5:8" x14ac:dyDescent="0.25">
      <c r="E14" s="50">
        <v>6</v>
      </c>
      <c r="F14" s="5">
        <f t="shared" si="0"/>
        <v>393.33333333333331</v>
      </c>
      <c r="G14" s="50">
        <v>118</v>
      </c>
      <c r="H14" s="50">
        <v>18</v>
      </c>
    </row>
    <row r="15" spans="5:8" x14ac:dyDescent="0.25">
      <c r="E15" s="50">
        <v>10</v>
      </c>
      <c r="F15" s="5">
        <f t="shared" si="0"/>
        <v>684</v>
      </c>
      <c r="G15" s="50">
        <v>114</v>
      </c>
      <c r="H15" s="50">
        <v>10</v>
      </c>
    </row>
    <row r="16" spans="5:8" x14ac:dyDescent="0.25">
      <c r="E16" s="50">
        <v>15</v>
      </c>
      <c r="F16" s="64">
        <f>E16*$F$20+$F$21</f>
        <v>1070.5638684924256</v>
      </c>
      <c r="G16" s="2"/>
      <c r="H16" s="2"/>
    </row>
    <row r="17" spans="5:8" x14ac:dyDescent="0.25">
      <c r="E17" s="50">
        <v>22</v>
      </c>
      <c r="F17" s="64">
        <f>E17*$F$20+$F$21</f>
        <v>1603.4369583912151</v>
      </c>
      <c r="G17" s="2"/>
      <c r="H17" s="2"/>
    </row>
    <row r="20" spans="5:8" x14ac:dyDescent="0.25">
      <c r="E20" s="1" t="s">
        <v>340</v>
      </c>
      <c r="F20" s="2">
        <f>SLOPE(F5:F15,E5:E15)</f>
        <v>76.12472712839849</v>
      </c>
      <c r="G20" s="2" t="s">
        <v>342</v>
      </c>
    </row>
    <row r="21" spans="5:8" x14ac:dyDescent="0.25">
      <c r="E21" s="1" t="s">
        <v>341</v>
      </c>
      <c r="F21" s="2">
        <f>INTERCEPT(F5:F15,E5:E15)</f>
        <v>-71.307038433551668</v>
      </c>
      <c r="G21" s="2" t="s">
        <v>343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EEE57D-82B9-4DE4-9223-23B7A3876331}">
  <dimension ref="E3:H8"/>
  <sheetViews>
    <sheetView workbookViewId="0">
      <selection activeCell="D17" sqref="D17"/>
    </sheetView>
  </sheetViews>
  <sheetFormatPr defaultRowHeight="15" x14ac:dyDescent="0.25"/>
  <cols>
    <col min="6" max="6" width="19.5703125" bestFit="1" customWidth="1"/>
    <col min="7" max="7" width="21.7109375" bestFit="1" customWidth="1"/>
    <col min="8" max="8" width="9.7109375" bestFit="1" customWidth="1"/>
  </cols>
  <sheetData>
    <row r="3" spans="5:8" x14ac:dyDescent="0.25">
      <c r="E3" s="92" t="s">
        <v>331</v>
      </c>
      <c r="F3" s="92" t="s">
        <v>344</v>
      </c>
      <c r="G3" s="92" t="s">
        <v>332</v>
      </c>
      <c r="H3" s="92" t="s">
        <v>267</v>
      </c>
    </row>
    <row r="4" spans="5:8" x14ac:dyDescent="0.25">
      <c r="E4" s="82">
        <v>14</v>
      </c>
      <c r="F4" s="99">
        <f>G4/H4*60</f>
        <v>20</v>
      </c>
      <c r="G4" s="82">
        <v>10</v>
      </c>
      <c r="H4" s="82">
        <v>30</v>
      </c>
    </row>
    <row r="5" spans="5:8" x14ac:dyDescent="0.25">
      <c r="E5" s="82">
        <v>18</v>
      </c>
      <c r="F5" s="99">
        <f t="shared" ref="F5:F7" si="0">G5/H5*60</f>
        <v>24</v>
      </c>
      <c r="G5" s="82">
        <v>10</v>
      </c>
      <c r="H5" s="82">
        <v>25</v>
      </c>
    </row>
    <row r="6" spans="5:8" x14ac:dyDescent="0.25">
      <c r="E6" s="82">
        <v>25</v>
      </c>
      <c r="F6" s="99">
        <f t="shared" si="0"/>
        <v>37.5</v>
      </c>
      <c r="G6" s="82">
        <v>10</v>
      </c>
      <c r="H6" s="82">
        <v>16</v>
      </c>
    </row>
    <row r="7" spans="5:8" x14ac:dyDescent="0.25">
      <c r="E7" s="82">
        <v>28</v>
      </c>
      <c r="F7" s="99">
        <f t="shared" si="0"/>
        <v>42.857142857142861</v>
      </c>
      <c r="G7" s="82">
        <v>10</v>
      </c>
      <c r="H7" s="82">
        <v>14</v>
      </c>
    </row>
    <row r="8" spans="5:8" x14ac:dyDescent="0.25">
      <c r="E8" s="2"/>
      <c r="F8" s="5"/>
      <c r="G8" s="2"/>
      <c r="H8" s="2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13B5F5-6A9A-484D-8E7F-731915877B07}">
  <dimension ref="C7:F107"/>
  <sheetViews>
    <sheetView topLeftCell="A4" zoomScale="70" zoomScaleNormal="70" workbookViewId="0">
      <selection activeCell="M152" sqref="M152"/>
    </sheetView>
  </sheetViews>
  <sheetFormatPr defaultRowHeight="15" x14ac:dyDescent="0.25"/>
  <cols>
    <col min="6" max="6" width="12.42578125" customWidth="1"/>
  </cols>
  <sheetData>
    <row r="7" spans="3:3" x14ac:dyDescent="0.25">
      <c r="C7" t="s">
        <v>127</v>
      </c>
    </row>
    <row r="8" spans="3:3" x14ac:dyDescent="0.25">
      <c r="C8" t="s">
        <v>128</v>
      </c>
    </row>
    <row r="9" spans="3:3" x14ac:dyDescent="0.25">
      <c r="C9" t="s">
        <v>129</v>
      </c>
    </row>
    <row r="71" spans="6:6" x14ac:dyDescent="0.25">
      <c r="F71" s="48" t="s">
        <v>130</v>
      </c>
    </row>
    <row r="72" spans="6:6" x14ac:dyDescent="0.25">
      <c r="F72" s="48" t="s">
        <v>131</v>
      </c>
    </row>
    <row r="106" spans="6:6" x14ac:dyDescent="0.25">
      <c r="F106" s="48" t="s">
        <v>130</v>
      </c>
    </row>
    <row r="107" spans="6:6" x14ac:dyDescent="0.25">
      <c r="F107" s="48" t="s">
        <v>132</v>
      </c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61175-65C4-46B6-A13A-D356EC12EF23}">
  <dimension ref="E5:I58"/>
  <sheetViews>
    <sheetView topLeftCell="A64" zoomScale="70" zoomScaleNormal="70" workbookViewId="0">
      <selection activeCell="I60" sqref="I60"/>
    </sheetView>
  </sheetViews>
  <sheetFormatPr defaultRowHeight="15" x14ac:dyDescent="0.25"/>
  <cols>
    <col min="5" max="5" width="12.42578125" customWidth="1"/>
    <col min="9" max="9" width="41.7109375" bestFit="1" customWidth="1"/>
  </cols>
  <sheetData>
    <row r="5" spans="5:9" x14ac:dyDescent="0.25">
      <c r="E5" s="4" t="s">
        <v>69</v>
      </c>
      <c r="F5" s="4" t="s">
        <v>66</v>
      </c>
      <c r="G5" s="4" t="s">
        <v>67</v>
      </c>
      <c r="H5" s="4" t="s">
        <v>68</v>
      </c>
      <c r="I5" s="4" t="s">
        <v>8</v>
      </c>
    </row>
    <row r="6" spans="5:9" x14ac:dyDescent="0.25">
      <c r="E6" s="2">
        <v>40</v>
      </c>
      <c r="F6" s="2" t="s">
        <v>70</v>
      </c>
      <c r="G6" s="2">
        <v>0</v>
      </c>
      <c r="H6" s="2">
        <v>2000</v>
      </c>
      <c r="I6" s="2" t="s">
        <v>71</v>
      </c>
    </row>
    <row r="7" spans="5:9" x14ac:dyDescent="0.25">
      <c r="E7" s="2">
        <v>40</v>
      </c>
      <c r="F7" s="2" t="s">
        <v>70</v>
      </c>
      <c r="G7" s="2">
        <v>0</v>
      </c>
      <c r="H7" s="2">
        <v>2000</v>
      </c>
      <c r="I7" s="2" t="s">
        <v>72</v>
      </c>
    </row>
    <row r="13" spans="5:9" x14ac:dyDescent="0.25">
      <c r="E13" t="s">
        <v>99</v>
      </c>
    </row>
    <row r="14" spans="5:9" x14ac:dyDescent="0.25">
      <c r="E14" t="s">
        <v>100</v>
      </c>
    </row>
    <row r="15" spans="5:9" x14ac:dyDescent="0.25">
      <c r="E15" t="s">
        <v>101</v>
      </c>
    </row>
    <row r="16" spans="5:9" x14ac:dyDescent="0.25">
      <c r="E16" t="s">
        <v>102</v>
      </c>
    </row>
    <row r="17" spans="5:5" x14ac:dyDescent="0.25">
      <c r="E17" t="s">
        <v>103</v>
      </c>
    </row>
    <row r="18" spans="5:5" x14ac:dyDescent="0.25">
      <c r="E18" t="s">
        <v>104</v>
      </c>
    </row>
    <row r="58" spans="5:5" x14ac:dyDescent="0.25">
      <c r="E58" t="s">
        <v>126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BD099-3916-499B-B746-FF375BBDE970}">
  <dimension ref="B6:S690"/>
  <sheetViews>
    <sheetView topLeftCell="A508" zoomScale="55" zoomScaleNormal="55" workbookViewId="0">
      <selection activeCell="Y692" sqref="Y692"/>
    </sheetView>
  </sheetViews>
  <sheetFormatPr defaultRowHeight="15" x14ac:dyDescent="0.25"/>
  <cols>
    <col min="3" max="3" width="23.7109375" bestFit="1" customWidth="1"/>
    <col min="6" max="6" width="29.7109375" customWidth="1"/>
    <col min="7" max="7" width="21.140625" customWidth="1"/>
    <col min="8" max="8" width="17.85546875" customWidth="1"/>
  </cols>
  <sheetData>
    <row r="6" spans="3:6" x14ac:dyDescent="0.25">
      <c r="C6" s="32" t="s">
        <v>0</v>
      </c>
      <c r="D6" s="32" t="s">
        <v>2</v>
      </c>
      <c r="E6" s="32" t="s">
        <v>1</v>
      </c>
      <c r="F6" s="32" t="s">
        <v>8</v>
      </c>
    </row>
    <row r="7" spans="3:6" x14ac:dyDescent="0.25">
      <c r="C7" s="2" t="s">
        <v>48</v>
      </c>
      <c r="D7" s="2">
        <v>18</v>
      </c>
      <c r="E7" s="2"/>
      <c r="F7" s="2"/>
    </row>
    <row r="8" spans="3:6" x14ac:dyDescent="0.25">
      <c r="C8" s="2" t="s">
        <v>49</v>
      </c>
      <c r="D8" s="2">
        <v>3</v>
      </c>
      <c r="E8" s="2"/>
      <c r="F8" s="2"/>
    </row>
    <row r="9" spans="3:6" x14ac:dyDescent="0.25">
      <c r="C9" s="2" t="s">
        <v>50</v>
      </c>
      <c r="D9" s="2"/>
      <c r="E9" s="2"/>
      <c r="F9" s="2" t="s">
        <v>51</v>
      </c>
    </row>
    <row r="134" spans="3:5" ht="15.75" thickBot="1" x14ac:dyDescent="0.3"/>
    <row r="135" spans="3:5" ht="15.75" thickBot="1" x14ac:dyDescent="0.3">
      <c r="C135" s="33" t="s">
        <v>52</v>
      </c>
      <c r="D135" s="33"/>
      <c r="E135" s="33"/>
    </row>
    <row r="185" spans="3:5" ht="15.75" thickBot="1" x14ac:dyDescent="0.3"/>
    <row r="186" spans="3:5" ht="15.75" thickBot="1" x14ac:dyDescent="0.3">
      <c r="C186" s="33" t="s">
        <v>52</v>
      </c>
      <c r="D186" s="34"/>
      <c r="E186" s="35"/>
    </row>
    <row r="236" spans="3:5" ht="15.75" thickBot="1" x14ac:dyDescent="0.3"/>
    <row r="237" spans="3:5" ht="15.75" thickBot="1" x14ac:dyDescent="0.3">
      <c r="C237" s="33" t="s">
        <v>53</v>
      </c>
      <c r="D237" s="34"/>
      <c r="E237" s="35"/>
    </row>
    <row r="280" spans="3:5" ht="15.75" thickBot="1" x14ac:dyDescent="0.3"/>
    <row r="281" spans="3:5" ht="15.75" thickBot="1" x14ac:dyDescent="0.3">
      <c r="C281" s="33" t="s">
        <v>53</v>
      </c>
      <c r="D281" s="34"/>
      <c r="E281" s="35"/>
    </row>
    <row r="330" spans="3:5" ht="15.75" thickBot="1" x14ac:dyDescent="0.3"/>
    <row r="331" spans="3:5" ht="15.75" thickBot="1" x14ac:dyDescent="0.3">
      <c r="C331" s="33" t="s">
        <v>54</v>
      </c>
      <c r="D331" s="34"/>
      <c r="E331" s="35"/>
    </row>
    <row r="610" spans="3:19" x14ac:dyDescent="0.25">
      <c r="C610" t="s">
        <v>55</v>
      </c>
    </row>
    <row r="612" spans="3:19" x14ac:dyDescent="0.25">
      <c r="C612" t="s">
        <v>56</v>
      </c>
    </row>
    <row r="613" spans="3:19" x14ac:dyDescent="0.25">
      <c r="S613">
        <f>170-85</f>
        <v>85</v>
      </c>
    </row>
    <row r="671" spans="2:8" ht="21" x14ac:dyDescent="0.35">
      <c r="B671" s="37"/>
      <c r="C671" s="36" t="s">
        <v>57</v>
      </c>
      <c r="F671" s="1" t="s">
        <v>58</v>
      </c>
      <c r="G671" s="1" t="s">
        <v>59</v>
      </c>
      <c r="H671" s="1" t="s">
        <v>60</v>
      </c>
    </row>
    <row r="672" spans="2:8" x14ac:dyDescent="0.25">
      <c r="F672" s="2">
        <v>7.5</v>
      </c>
      <c r="G672" s="2">
        <v>3.35</v>
      </c>
      <c r="H672" s="2">
        <f>G672*2.54</f>
        <v>8.5090000000000003</v>
      </c>
    </row>
    <row r="673" spans="2:8" x14ac:dyDescent="0.25">
      <c r="F673" s="2">
        <v>6.5</v>
      </c>
      <c r="G673" s="2">
        <v>3</v>
      </c>
      <c r="H673" s="2">
        <f t="shared" ref="H673:H677" si="0">G673*2.54</f>
        <v>7.62</v>
      </c>
    </row>
    <row r="674" spans="2:8" x14ac:dyDescent="0.25">
      <c r="F674" s="2">
        <v>4.5</v>
      </c>
      <c r="G674" s="2">
        <v>2</v>
      </c>
      <c r="H674" s="2">
        <f t="shared" si="0"/>
        <v>5.08</v>
      </c>
    </row>
    <row r="675" spans="2:8" x14ac:dyDescent="0.25">
      <c r="F675" s="2">
        <v>3</v>
      </c>
      <c r="G675" s="2">
        <v>1.2</v>
      </c>
      <c r="H675" s="2">
        <f t="shared" si="0"/>
        <v>3.048</v>
      </c>
    </row>
    <row r="676" spans="2:8" x14ac:dyDescent="0.25">
      <c r="F676" s="2">
        <v>2.2000000000000002</v>
      </c>
      <c r="G676" s="2">
        <v>0.8</v>
      </c>
      <c r="H676" s="2">
        <f t="shared" si="0"/>
        <v>2.032</v>
      </c>
    </row>
    <row r="677" spans="2:8" x14ac:dyDescent="0.25">
      <c r="F677" s="2">
        <v>1.4</v>
      </c>
      <c r="G677" s="2">
        <v>0.4</v>
      </c>
      <c r="H677" s="2">
        <f t="shared" si="0"/>
        <v>1.016</v>
      </c>
    </row>
    <row r="678" spans="2:8" x14ac:dyDescent="0.25">
      <c r="F678" s="2"/>
      <c r="G678" s="2"/>
      <c r="H678" s="2"/>
    </row>
    <row r="684" spans="2:8" x14ac:dyDescent="0.25">
      <c r="B684" t="s">
        <v>62</v>
      </c>
    </row>
    <row r="685" spans="2:8" x14ac:dyDescent="0.25">
      <c r="C685" t="s">
        <v>61</v>
      </c>
    </row>
    <row r="688" spans="2:8" x14ac:dyDescent="0.25">
      <c r="C688" s="1" t="s">
        <v>0</v>
      </c>
      <c r="D688" s="1" t="s">
        <v>2</v>
      </c>
      <c r="E688" s="1" t="s">
        <v>1</v>
      </c>
      <c r="F688" s="1" t="s">
        <v>8</v>
      </c>
    </row>
    <row r="689" spans="3:6" x14ac:dyDescent="0.25">
      <c r="C689" s="2" t="s">
        <v>61</v>
      </c>
      <c r="D689" s="2">
        <v>0.2</v>
      </c>
      <c r="E689" s="2" t="s">
        <v>63</v>
      </c>
      <c r="F689" s="2"/>
    </row>
    <row r="690" spans="3:6" x14ac:dyDescent="0.25">
      <c r="C690" s="2" t="s">
        <v>64</v>
      </c>
      <c r="D690" s="2">
        <f>D689*1000</f>
        <v>200</v>
      </c>
      <c r="E690" s="2" t="s">
        <v>3</v>
      </c>
      <c r="F690" s="2" t="s">
        <v>65</v>
      </c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80F59-61B8-44A6-8EEF-B7DF7B9B21EA}">
  <dimension ref="D6:T10"/>
  <sheetViews>
    <sheetView workbookViewId="0">
      <selection activeCell="H15" sqref="H15"/>
    </sheetView>
  </sheetViews>
  <sheetFormatPr defaultRowHeight="15" x14ac:dyDescent="0.25"/>
  <cols>
    <col min="4" max="4" width="6.140625" bestFit="1" customWidth="1"/>
    <col min="5" max="5" width="20.5703125" bestFit="1" customWidth="1"/>
    <col min="6" max="6" width="36.140625" bestFit="1" customWidth="1"/>
    <col min="7" max="7" width="52.85546875" bestFit="1" customWidth="1"/>
    <col min="8" max="8" width="14.42578125" bestFit="1" customWidth="1"/>
  </cols>
  <sheetData>
    <row r="6" spans="4:20" x14ac:dyDescent="0.25">
      <c r="D6" s="1" t="s">
        <v>21</v>
      </c>
      <c r="E6" s="1" t="s">
        <v>22</v>
      </c>
      <c r="F6" s="1" t="s">
        <v>23</v>
      </c>
      <c r="G6" s="1" t="s">
        <v>42</v>
      </c>
      <c r="H6" s="28" t="s">
        <v>24</v>
      </c>
      <c r="I6" s="28" t="s">
        <v>25</v>
      </c>
      <c r="J6" s="28" t="s">
        <v>26</v>
      </c>
      <c r="K6" s="28" t="s">
        <v>27</v>
      </c>
      <c r="L6" s="28" t="s">
        <v>28</v>
      </c>
      <c r="M6" s="29" t="s">
        <v>29</v>
      </c>
      <c r="N6" s="29" t="s">
        <v>30</v>
      </c>
      <c r="O6" s="29" t="s">
        <v>31</v>
      </c>
      <c r="P6" s="29" t="s">
        <v>32</v>
      </c>
      <c r="Q6" s="29" t="s">
        <v>33</v>
      </c>
      <c r="R6" s="29" t="s">
        <v>34</v>
      </c>
      <c r="S6" s="29" t="s">
        <v>35</v>
      </c>
      <c r="T6" s="29" t="s">
        <v>36</v>
      </c>
    </row>
    <row r="7" spans="4:20" x14ac:dyDescent="0.25">
      <c r="D7" s="2">
        <v>1</v>
      </c>
      <c r="E7" s="2" t="s">
        <v>37</v>
      </c>
      <c r="F7" s="2" t="s">
        <v>39</v>
      </c>
      <c r="G7" s="2" t="s">
        <v>43</v>
      </c>
      <c r="H7" s="2" t="s">
        <v>38</v>
      </c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</row>
    <row r="8" spans="4:20" x14ac:dyDescent="0.25">
      <c r="D8" s="2"/>
      <c r="E8" s="2"/>
      <c r="F8" s="2"/>
      <c r="G8" s="2" t="s">
        <v>44</v>
      </c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</row>
    <row r="9" spans="4:20" x14ac:dyDescent="0.25">
      <c r="D9" s="2">
        <v>2</v>
      </c>
      <c r="E9" s="2" t="s">
        <v>40</v>
      </c>
      <c r="F9" s="2" t="s">
        <v>41</v>
      </c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</row>
    <row r="10" spans="4:20" x14ac:dyDescent="0.25">
      <c r="D10" s="2">
        <v>3</v>
      </c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Test Results</vt:lpstr>
      <vt:lpstr>Plant Transfer Function</vt:lpstr>
      <vt:lpstr>Ramp1,2 Test</vt:lpstr>
      <vt:lpstr>Wire Feed Speed Table</vt:lpstr>
      <vt:lpstr>Axial Speed Table</vt:lpstr>
      <vt:lpstr>Loop Gain</vt:lpstr>
      <vt:lpstr>Av</vt:lpstr>
      <vt:lpstr>Trafo V02 Modified</vt:lpstr>
      <vt:lpstr>Test Plan</vt:lpstr>
      <vt:lpstr>Common MIG Misbehavior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2024-04-22T11:18:08Z</dcterms:modified>
</cp:coreProperties>
</file>